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nge Munezero\Desktop\Box\Box Sync\M&amp;E\3. Data Entry &amp; Analysis &amp; Reports\3. Reports\2023\6. Annual numbers\"/>
    </mc:Choice>
  </mc:AlternateContent>
  <xr:revisionPtr revIDLastSave="0" documentId="13_ncr:1_{BEE365F3-1972-4340-884A-A958B2C7AEE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Follow-up questions" sheetId="2" state="hidden" r:id="rId1"/>
    <sheet name="Dashboard" sheetId="7" r:id="rId2"/>
    <sheet name="One year follow-up_inperson" sheetId="4" state="hidden" r:id="rId3"/>
    <sheet name="six months follow-up_in person" sheetId="3" r:id="rId4"/>
    <sheet name=" Analysis_Stats_in person" sheetId="5" r:id="rId5"/>
    <sheet name="Comparisons" sheetId="13" state="hidden" r:id="rId6"/>
    <sheet name="One year follow-up_Virtual" sheetId="9" state="hidden" r:id="rId7"/>
    <sheet name=" Analysis_Stats_Virtual" sheetId="10" r:id="rId8"/>
    <sheet name="Analysis_Charts Virtual" sheetId="11" state="hidden" r:id="rId9"/>
    <sheet name="Analysis_Charts" sheetId="6" state="hidden" r:id="rId10"/>
  </sheets>
  <definedNames>
    <definedName name="_xlnm._FilterDatabase" localSheetId="4" hidden="1">' Analysis_Stats_in person'!$A$30:$AE$31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" i="5" l="1"/>
  <c r="X9" i="5"/>
  <c r="X10" i="5"/>
  <c r="X11" i="5"/>
  <c r="X12" i="5"/>
  <c r="V8" i="5"/>
  <c r="V9" i="5"/>
  <c r="V10" i="5"/>
  <c r="V11" i="5"/>
  <c r="V12" i="5"/>
  <c r="V7" i="5"/>
  <c r="K39" i="5"/>
  <c r="L39" i="5"/>
  <c r="K40" i="5"/>
  <c r="L40" i="5"/>
  <c r="O66" i="5"/>
  <c r="I24" i="3"/>
  <c r="G31" i="3"/>
  <c r="AI24" i="3"/>
  <c r="AI25" i="3"/>
  <c r="AI26" i="3"/>
  <c r="G32" i="3"/>
  <c r="AK24" i="3"/>
  <c r="AK25" i="3"/>
  <c r="AK26" i="3"/>
  <c r="AK27" i="3"/>
  <c r="AK28" i="3"/>
  <c r="AK29" i="3"/>
  <c r="G33" i="3"/>
  <c r="G34" i="3"/>
  <c r="G35" i="3"/>
  <c r="G28" i="3"/>
  <c r="G27" i="3"/>
  <c r="J24" i="3"/>
  <c r="N33" i="5"/>
  <c r="T31" i="5"/>
  <c r="S33" i="5"/>
  <c r="C8" i="5"/>
  <c r="C9" i="5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2" i="3"/>
  <c r="C31" i="5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2" i="3"/>
  <c r="B31" i="5"/>
  <c r="H29" i="3"/>
  <c r="K31" i="5"/>
  <c r="H38" i="3"/>
  <c r="K31" i="10"/>
  <c r="C31" i="10"/>
  <c r="C13" i="5"/>
  <c r="I6" i="5"/>
  <c r="G9" i="5"/>
  <c r="H30" i="7"/>
  <c r="H31" i="7"/>
  <c r="H33" i="7"/>
  <c r="H34" i="7"/>
  <c r="H35" i="7"/>
  <c r="F47" i="7"/>
  <c r="F46" i="7"/>
  <c r="F45" i="7"/>
  <c r="F44" i="7"/>
  <c r="F43" i="7"/>
  <c r="F42" i="7"/>
  <c r="I16" i="10"/>
  <c r="E16" i="10"/>
  <c r="E14" i="10"/>
  <c r="E13" i="10"/>
  <c r="L4" i="9"/>
  <c r="L3" i="9"/>
  <c r="L5" i="9"/>
  <c r="R3" i="4"/>
  <c r="R2" i="4"/>
  <c r="G13" i="5"/>
  <c r="C26" i="11"/>
  <c r="D33" i="11"/>
  <c r="C2" i="7"/>
  <c r="R60" i="10"/>
  <c r="R59" i="10"/>
  <c r="R58" i="10"/>
  <c r="R57" i="10"/>
  <c r="R59" i="5"/>
  <c r="R58" i="5"/>
  <c r="R57" i="5"/>
  <c r="R56" i="5"/>
  <c r="R55" i="5"/>
  <c r="R54" i="5"/>
  <c r="R60" i="5"/>
  <c r="R61" i="5"/>
  <c r="R53" i="5"/>
  <c r="R52" i="5"/>
  <c r="R51" i="5"/>
  <c r="R50" i="5"/>
  <c r="R49" i="5"/>
  <c r="R48" i="5"/>
  <c r="R47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E8" i="5"/>
  <c r="J60" i="5"/>
  <c r="J61" i="5"/>
  <c r="C61" i="5"/>
  <c r="C60" i="5"/>
  <c r="B60" i="5"/>
  <c r="B61" i="5"/>
  <c r="H19" i="4"/>
  <c r="E3" i="6"/>
  <c r="F7" i="6"/>
  <c r="R56" i="10"/>
  <c r="Q57" i="10"/>
  <c r="Q58" i="10"/>
  <c r="Q59" i="10"/>
  <c r="Q60" i="10"/>
  <c r="Q56" i="10"/>
  <c r="R37" i="10"/>
  <c r="R36" i="10"/>
  <c r="K36" i="10"/>
  <c r="K37" i="10"/>
  <c r="C37" i="10"/>
  <c r="C36" i="10"/>
  <c r="K47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C54" i="5"/>
  <c r="C55" i="5"/>
  <c r="C56" i="5"/>
  <c r="C57" i="5"/>
  <c r="C58" i="5"/>
  <c r="C59" i="5"/>
  <c r="C53" i="5"/>
  <c r="C52" i="5"/>
  <c r="C51" i="5"/>
  <c r="C50" i="5"/>
  <c r="C49" i="5"/>
  <c r="C48" i="5"/>
  <c r="C47" i="5"/>
  <c r="B58" i="5"/>
  <c r="B59" i="5"/>
  <c r="B57" i="5"/>
  <c r="B47" i="5"/>
  <c r="B48" i="5"/>
  <c r="B49" i="5"/>
  <c r="B50" i="5"/>
  <c r="B51" i="5"/>
  <c r="B52" i="5"/>
  <c r="B53" i="5"/>
  <c r="B54" i="5"/>
  <c r="B55" i="5"/>
  <c r="B56" i="5"/>
  <c r="R46" i="5"/>
  <c r="R45" i="5"/>
  <c r="R44" i="5"/>
  <c r="R43" i="5"/>
  <c r="R42" i="5"/>
  <c r="R41" i="5"/>
  <c r="R40" i="5"/>
  <c r="R39" i="5"/>
  <c r="Q40" i="5"/>
  <c r="Q41" i="5"/>
  <c r="Q42" i="5"/>
  <c r="Q43" i="5"/>
  <c r="Q44" i="5"/>
  <c r="Q45" i="5"/>
  <c r="Q46" i="5"/>
  <c r="G9" i="9"/>
  <c r="E26" i="11"/>
  <c r="F32" i="11"/>
  <c r="K46" i="5"/>
  <c r="K45" i="5"/>
  <c r="K44" i="5"/>
  <c r="K43" i="5"/>
  <c r="J44" i="5"/>
  <c r="J45" i="5"/>
  <c r="J46" i="5"/>
  <c r="K42" i="5"/>
  <c r="K41" i="5"/>
  <c r="E9" i="5"/>
  <c r="K35" i="10"/>
  <c r="K34" i="10"/>
  <c r="K33" i="10"/>
  <c r="K32" i="10"/>
  <c r="C35" i="10"/>
  <c r="C34" i="10"/>
  <c r="C33" i="10"/>
  <c r="C32" i="10"/>
  <c r="B32" i="10"/>
  <c r="B33" i="10"/>
  <c r="B34" i="10"/>
  <c r="B35" i="10"/>
  <c r="B31" i="10"/>
  <c r="C60" i="10"/>
  <c r="C59" i="10"/>
  <c r="C58" i="10"/>
  <c r="B57" i="10"/>
  <c r="B58" i="10"/>
  <c r="B59" i="10"/>
  <c r="B60" i="10"/>
  <c r="B61" i="10"/>
  <c r="B56" i="10"/>
  <c r="C46" i="5"/>
  <c r="C45" i="5"/>
  <c r="C44" i="5"/>
  <c r="C43" i="5"/>
  <c r="C42" i="5"/>
  <c r="C41" i="5"/>
  <c r="C40" i="5"/>
  <c r="C39" i="5"/>
  <c r="K9" i="5"/>
  <c r="C16" i="5"/>
  <c r="J31" i="10"/>
  <c r="C57" i="10"/>
  <c r="B36" i="10"/>
  <c r="B37" i="10"/>
  <c r="C56" i="10"/>
  <c r="C14" i="5"/>
  <c r="C15" i="5"/>
  <c r="G9" i="10"/>
  <c r="I47" i="7"/>
  <c r="I46" i="7"/>
  <c r="M16" i="10"/>
  <c r="I45" i="7"/>
  <c r="J45" i="7"/>
  <c r="L45" i="7"/>
  <c r="M15" i="10"/>
  <c r="I44" i="7"/>
  <c r="L44" i="7"/>
  <c r="S73" i="10"/>
  <c r="S72" i="10"/>
  <c r="I14" i="10"/>
  <c r="I43" i="7"/>
  <c r="L43" i="7"/>
  <c r="C61" i="10"/>
  <c r="C62" i="10"/>
  <c r="C63" i="10"/>
  <c r="C64" i="10"/>
  <c r="C65" i="10"/>
  <c r="C66" i="10"/>
  <c r="D66" i="10"/>
  <c r="C67" i="10"/>
  <c r="C68" i="10"/>
  <c r="C69" i="10"/>
  <c r="C70" i="10"/>
  <c r="I42" i="7"/>
  <c r="L42" i="7"/>
  <c r="F31" i="7"/>
  <c r="D32" i="7"/>
  <c r="F32" i="7"/>
  <c r="F33" i="7"/>
  <c r="I33" i="7"/>
  <c r="M33" i="7"/>
  <c r="O33" i="7"/>
  <c r="I30" i="7"/>
  <c r="O30" i="7"/>
  <c r="L30" i="7"/>
  <c r="O42" i="7"/>
  <c r="L31" i="7"/>
  <c r="I32" i="7"/>
  <c r="O22" i="4"/>
  <c r="N22" i="4"/>
  <c r="M22" i="4"/>
  <c r="L22" i="4"/>
  <c r="O47" i="7"/>
  <c r="O46" i="7"/>
  <c r="O45" i="7"/>
  <c r="O44" i="7"/>
  <c r="O43" i="7"/>
  <c r="L46" i="7"/>
  <c r="O34" i="7"/>
  <c r="O32" i="7"/>
  <c r="O31" i="7"/>
  <c r="L35" i="7"/>
  <c r="L34" i="7"/>
  <c r="L33" i="7"/>
  <c r="L32" i="7"/>
  <c r="I35" i="7"/>
  <c r="C9" i="10"/>
  <c r="C8" i="10"/>
  <c r="R61" i="10"/>
  <c r="R62" i="10"/>
  <c r="R63" i="10"/>
  <c r="R64" i="10"/>
  <c r="R65" i="10"/>
  <c r="R66" i="10"/>
  <c r="S66" i="10"/>
  <c r="R67" i="10"/>
  <c r="R68" i="10"/>
  <c r="R69" i="10"/>
  <c r="R70" i="10"/>
  <c r="R32" i="10"/>
  <c r="R33" i="10"/>
  <c r="R34" i="10"/>
  <c r="R35" i="10"/>
  <c r="R31" i="10"/>
  <c r="K12" i="9"/>
  <c r="Q32" i="10"/>
  <c r="Q33" i="10"/>
  <c r="Q34" i="10"/>
  <c r="Q35" i="10"/>
  <c r="Q36" i="10"/>
  <c r="Q37" i="10"/>
  <c r="Q31" i="10"/>
  <c r="Q39" i="5"/>
  <c r="I22" i="4"/>
  <c r="H12" i="9"/>
  <c r="J22" i="4"/>
  <c r="I12" i="9"/>
  <c r="H22" i="4"/>
  <c r="G12" i="9"/>
  <c r="J40" i="5"/>
  <c r="J41" i="5"/>
  <c r="J42" i="5"/>
  <c r="J43" i="5"/>
  <c r="B40" i="5"/>
  <c r="B41" i="5"/>
  <c r="B42" i="5"/>
  <c r="B43" i="5"/>
  <c r="B44" i="5"/>
  <c r="B39" i="5"/>
  <c r="K70" i="10"/>
  <c r="K69" i="10"/>
  <c r="K68" i="10"/>
  <c r="K67" i="10"/>
  <c r="K66" i="10"/>
  <c r="K65" i="10"/>
  <c r="K64" i="10"/>
  <c r="L64" i="10"/>
  <c r="K63" i="10"/>
  <c r="K62" i="10"/>
  <c r="K61" i="10"/>
  <c r="J37" i="10"/>
  <c r="J36" i="10"/>
  <c r="J35" i="10"/>
  <c r="J34" i="10"/>
  <c r="J33" i="10"/>
  <c r="J32" i="10"/>
  <c r="E9" i="10"/>
  <c r="E8" i="10"/>
  <c r="N12" i="9"/>
  <c r="M12" i="9"/>
  <c r="L12" i="9"/>
  <c r="B46" i="5"/>
  <c r="B45" i="5"/>
  <c r="J39" i="5"/>
  <c r="J31" i="5"/>
  <c r="E3" i="11"/>
  <c r="F6" i="11"/>
  <c r="M9" i="10"/>
  <c r="I9" i="10"/>
  <c r="L47" i="7"/>
  <c r="I31" i="7"/>
  <c r="I34" i="7"/>
  <c r="S71" i="10"/>
  <c r="E15" i="10"/>
  <c r="F15" i="10"/>
  <c r="O35" i="7"/>
  <c r="F20" i="7"/>
  <c r="F21" i="7"/>
  <c r="F34" i="7"/>
  <c r="F74" i="10"/>
  <c r="N74" i="10"/>
  <c r="U74" i="10"/>
  <c r="F22" i="7"/>
  <c r="F35" i="7"/>
  <c r="F19" i="7"/>
  <c r="F30" i="7"/>
  <c r="D31" i="5"/>
  <c r="H31" i="5"/>
  <c r="L24" i="3"/>
  <c r="C3" i="11"/>
  <c r="D7" i="11"/>
  <c r="G6" i="5"/>
  <c r="O6" i="5"/>
  <c r="H9" i="9"/>
  <c r="G8" i="10"/>
  <c r="O8" i="10"/>
  <c r="K8" i="10"/>
  <c r="K9" i="10"/>
  <c r="F7" i="11"/>
  <c r="F8" i="11"/>
  <c r="D29" i="11"/>
  <c r="N15" i="10"/>
  <c r="L46" i="10"/>
  <c r="D45" i="10"/>
  <c r="S38" i="10"/>
  <c r="C13" i="10"/>
  <c r="S34" i="10"/>
  <c r="S48" i="10"/>
  <c r="D32" i="11"/>
  <c r="D31" i="11"/>
  <c r="D30" i="11"/>
  <c r="E26" i="6"/>
  <c r="F29" i="6"/>
  <c r="I19" i="4"/>
  <c r="R4" i="4"/>
  <c r="G16" i="5"/>
  <c r="G15" i="5"/>
  <c r="F6" i="6"/>
  <c r="S4" i="4"/>
  <c r="C12" i="7"/>
  <c r="G14" i="5"/>
  <c r="K24" i="3"/>
  <c r="E18" i="10"/>
  <c r="E17" i="10"/>
  <c r="I13" i="10"/>
  <c r="D58" i="10"/>
  <c r="L66" i="10"/>
  <c r="S64" i="10"/>
  <c r="D64" i="10"/>
  <c r="I15" i="10"/>
  <c r="J15" i="10"/>
  <c r="L67" i="10"/>
  <c r="S63" i="10"/>
  <c r="D63" i="10"/>
  <c r="O9" i="10"/>
  <c r="D59" i="10"/>
  <c r="M14" i="10"/>
  <c r="D60" i="10"/>
  <c r="L65" i="10"/>
  <c r="S65" i="10"/>
  <c r="D65" i="10"/>
  <c r="D57" i="10"/>
  <c r="S58" i="10"/>
  <c r="L68" i="10"/>
  <c r="S70" i="10"/>
  <c r="S62" i="10"/>
  <c r="D70" i="10"/>
  <c r="D62" i="10"/>
  <c r="L61" i="10"/>
  <c r="L69" i="10"/>
  <c r="S69" i="10"/>
  <c r="S61" i="10"/>
  <c r="D69" i="10"/>
  <c r="D61" i="10"/>
  <c r="L62" i="10"/>
  <c r="L70" i="10"/>
  <c r="S68" i="10"/>
  <c r="D68" i="10"/>
  <c r="S59" i="10"/>
  <c r="L58" i="10"/>
  <c r="L63" i="10"/>
  <c r="S67" i="10"/>
  <c r="D67" i="10"/>
  <c r="D56" i="10"/>
  <c r="S60" i="10"/>
  <c r="F29" i="11"/>
  <c r="F31" i="11"/>
  <c r="F33" i="11"/>
  <c r="C6" i="7"/>
  <c r="F30" i="11"/>
  <c r="C14" i="10"/>
  <c r="I18" i="10"/>
  <c r="G16" i="10"/>
  <c r="O16" i="10"/>
  <c r="D6" i="11"/>
  <c r="D43" i="10"/>
  <c r="C16" i="10"/>
  <c r="D8" i="11"/>
  <c r="M8" i="10"/>
  <c r="L60" i="10"/>
  <c r="D41" i="10"/>
  <c r="K13" i="10"/>
  <c r="G14" i="10"/>
  <c r="O14" i="10"/>
  <c r="G15" i="10"/>
  <c r="O15" i="10"/>
  <c r="M17" i="10"/>
  <c r="I17" i="10"/>
  <c r="M6" i="10"/>
  <c r="N16" i="10"/>
  <c r="L59" i="10"/>
  <c r="L57" i="10"/>
  <c r="M18" i="10"/>
  <c r="M13" i="10"/>
  <c r="S56" i="10"/>
  <c r="I8" i="10"/>
  <c r="L56" i="10"/>
  <c r="I6" i="10"/>
  <c r="K6" i="10"/>
  <c r="G6" i="10"/>
  <c r="K16" i="10"/>
  <c r="K14" i="10"/>
  <c r="D35" i="10"/>
  <c r="H35" i="10"/>
  <c r="L45" i="10"/>
  <c r="L40" i="10"/>
  <c r="D44" i="10"/>
  <c r="S44" i="10"/>
  <c r="D49" i="10"/>
  <c r="L48" i="10"/>
  <c r="S41" i="10"/>
  <c r="S31" i="10"/>
  <c r="D47" i="10"/>
  <c r="L31" i="10"/>
  <c r="D42" i="10"/>
  <c r="K15" i="10"/>
  <c r="C15" i="10"/>
  <c r="L44" i="10"/>
  <c r="S40" i="10"/>
  <c r="D39" i="10"/>
  <c r="L38" i="10"/>
  <c r="D38" i="10"/>
  <c r="S47" i="10"/>
  <c r="L42" i="10"/>
  <c r="L39" i="10"/>
  <c r="D46" i="10"/>
  <c r="L32" i="10"/>
  <c r="L33" i="10"/>
  <c r="S49" i="10"/>
  <c r="G13" i="10"/>
  <c r="O13" i="10"/>
  <c r="D40" i="10"/>
  <c r="L49" i="10"/>
  <c r="S39" i="10"/>
  <c r="S32" i="10"/>
  <c r="S33" i="10"/>
  <c r="D33" i="10"/>
  <c r="H33" i="10"/>
  <c r="S46" i="10"/>
  <c r="S43" i="10"/>
  <c r="D34" i="10"/>
  <c r="H34" i="10"/>
  <c r="S37" i="10"/>
  <c r="S57" i="10"/>
  <c r="D36" i="10"/>
  <c r="H36" i="10"/>
  <c r="D37" i="10"/>
  <c r="H37" i="10"/>
  <c r="L37" i="10"/>
  <c r="L36" i="10"/>
  <c r="D31" i="10"/>
  <c r="H31" i="10"/>
  <c r="L34" i="10"/>
  <c r="L41" i="10"/>
  <c r="S42" i="10"/>
  <c r="L43" i="10"/>
  <c r="L47" i="10"/>
  <c r="S35" i="10"/>
  <c r="S45" i="10"/>
  <c r="D48" i="10"/>
  <c r="D32" i="10"/>
  <c r="H32" i="10"/>
  <c r="L35" i="10"/>
  <c r="S36" i="10"/>
  <c r="C11" i="7"/>
  <c r="F8" i="6"/>
  <c r="C5" i="7"/>
  <c r="C7" i="7"/>
  <c r="E13" i="5"/>
  <c r="D56" i="5"/>
  <c r="H56" i="5"/>
  <c r="E16" i="5"/>
  <c r="C26" i="6"/>
  <c r="D32" i="6"/>
  <c r="C3" i="6"/>
  <c r="D8" i="6"/>
  <c r="O9" i="5"/>
  <c r="M9" i="5"/>
  <c r="I16" i="5"/>
  <c r="I15" i="5"/>
  <c r="M14" i="5"/>
  <c r="I13" i="5"/>
  <c r="K16" i="5"/>
  <c r="L57" i="5"/>
  <c r="I9" i="5"/>
  <c r="D48" i="5"/>
  <c r="H48" i="5"/>
  <c r="D49" i="5"/>
  <c r="H49" i="5"/>
  <c r="L56" i="5"/>
  <c r="S40" i="5"/>
  <c r="L49" i="5"/>
  <c r="S51" i="5"/>
  <c r="L42" i="5"/>
  <c r="K6" i="5"/>
  <c r="L9" i="5"/>
  <c r="M13" i="5"/>
  <c r="M16" i="5"/>
  <c r="E15" i="5"/>
  <c r="M15" i="5"/>
  <c r="L47" i="5"/>
  <c r="S55" i="5"/>
  <c r="E14" i="5"/>
  <c r="D40" i="5"/>
  <c r="H40" i="5"/>
  <c r="S39" i="5"/>
  <c r="L55" i="5"/>
  <c r="S57" i="5"/>
  <c r="D52" i="5"/>
  <c r="H52" i="5"/>
  <c r="K8" i="5"/>
  <c r="M8" i="5"/>
  <c r="I8" i="5"/>
  <c r="I14" i="5"/>
  <c r="D41" i="5"/>
  <c r="H41" i="5"/>
  <c r="S41" i="5"/>
  <c r="L43" i="5"/>
  <c r="S42" i="5"/>
  <c r="L54" i="5"/>
  <c r="S48" i="5"/>
  <c r="S54" i="5"/>
  <c r="D42" i="5"/>
  <c r="H42" i="5"/>
  <c r="D44" i="5"/>
  <c r="H44" i="5"/>
  <c r="L45" i="5"/>
  <c r="S44" i="5"/>
  <c r="D43" i="5"/>
  <c r="H43" i="5"/>
  <c r="L44" i="5"/>
  <c r="S43" i="5"/>
  <c r="D53" i="5"/>
  <c r="H53" i="5"/>
  <c r="S49" i="5"/>
  <c r="D59" i="5"/>
  <c r="H59" i="5"/>
  <c r="D60" i="5"/>
  <c r="H60" i="5"/>
  <c r="L48" i="5"/>
  <c r="S50" i="5"/>
  <c r="S56" i="5"/>
  <c r="D45" i="5"/>
  <c r="H45" i="5"/>
  <c r="L41" i="5"/>
  <c r="L46" i="5"/>
  <c r="S45" i="5"/>
  <c r="D47" i="5"/>
  <c r="H47" i="5"/>
  <c r="D58" i="5"/>
  <c r="H58" i="5"/>
  <c r="D61" i="5"/>
  <c r="H61" i="5"/>
  <c r="D46" i="5"/>
  <c r="H46" i="5"/>
  <c r="S46" i="5"/>
  <c r="D57" i="5"/>
  <c r="H57" i="5"/>
  <c r="L50" i="5"/>
  <c r="L58" i="5"/>
  <c r="S52" i="5"/>
  <c r="S58" i="5"/>
  <c r="D39" i="5"/>
  <c r="H39" i="5"/>
  <c r="L51" i="5"/>
  <c r="L59" i="5"/>
  <c r="S53" i="5"/>
  <c r="S59" i="5"/>
  <c r="D50" i="5"/>
  <c r="H50" i="5"/>
  <c r="D55" i="5"/>
  <c r="H55" i="5"/>
  <c r="L52" i="5"/>
  <c r="L60" i="5"/>
  <c r="S61" i="5"/>
  <c r="D51" i="5"/>
  <c r="H51" i="5"/>
  <c r="D54" i="5"/>
  <c r="H54" i="5"/>
  <c r="L53" i="5"/>
  <c r="L61" i="5"/>
  <c r="S47" i="5"/>
  <c r="S60" i="5"/>
  <c r="K15" i="5"/>
  <c r="K14" i="5"/>
  <c r="G29" i="3"/>
  <c r="K13" i="5"/>
  <c r="C18" i="5"/>
  <c r="C17" i="5"/>
  <c r="L31" i="5"/>
  <c r="H14" i="10"/>
  <c r="J18" i="10"/>
  <c r="F32" i="6"/>
  <c r="F31" i="6"/>
  <c r="F33" i="6"/>
  <c r="F30" i="6"/>
  <c r="H9" i="5"/>
  <c r="G8" i="5"/>
  <c r="G17" i="5"/>
  <c r="O14" i="5"/>
  <c r="AB8" i="5"/>
  <c r="J8" i="5"/>
  <c r="M6" i="5"/>
  <c r="N9" i="5"/>
  <c r="D7" i="6"/>
  <c r="D31" i="6"/>
  <c r="D6" i="6"/>
  <c r="D29" i="6"/>
  <c r="K17" i="5"/>
  <c r="L17" i="5"/>
  <c r="D30" i="6"/>
  <c r="E6" i="10"/>
  <c r="F16" i="10"/>
  <c r="G74" i="10"/>
  <c r="D74" i="10"/>
  <c r="E74" i="10"/>
  <c r="F13" i="10"/>
  <c r="S74" i="10"/>
  <c r="N9" i="10"/>
  <c r="F50" i="10"/>
  <c r="D15" i="10"/>
  <c r="O74" i="10"/>
  <c r="J8" i="10"/>
  <c r="L74" i="10"/>
  <c r="J9" i="10"/>
  <c r="J17" i="10"/>
  <c r="L50" i="10"/>
  <c r="M50" i="10"/>
  <c r="H13" i="10"/>
  <c r="M74" i="10"/>
  <c r="J13" i="10"/>
  <c r="J14" i="10"/>
  <c r="C6" i="10"/>
  <c r="D8" i="10"/>
  <c r="T74" i="10"/>
  <c r="N13" i="10"/>
  <c r="J16" i="10"/>
  <c r="N17" i="10"/>
  <c r="V50" i="10"/>
  <c r="S50" i="10"/>
  <c r="O50" i="10"/>
  <c r="V74" i="10"/>
  <c r="N14" i="10"/>
  <c r="N18" i="10"/>
  <c r="N8" i="10"/>
  <c r="E50" i="10"/>
  <c r="D13" i="10"/>
  <c r="N50" i="10"/>
  <c r="P15" i="10"/>
  <c r="H16" i="10"/>
  <c r="T50" i="10"/>
  <c r="L13" i="10"/>
  <c r="U50" i="10"/>
  <c r="L15" i="10"/>
  <c r="D50" i="10"/>
  <c r="D51" i="10"/>
  <c r="G50" i="10"/>
  <c r="L14" i="10"/>
  <c r="L16" i="10"/>
  <c r="C17" i="10"/>
  <c r="G17" i="10"/>
  <c r="H9" i="10"/>
  <c r="H8" i="10"/>
  <c r="K17" i="10"/>
  <c r="L17" i="10"/>
  <c r="L8" i="10"/>
  <c r="L9" i="10"/>
  <c r="G18" i="10"/>
  <c r="C18" i="10"/>
  <c r="K18" i="10"/>
  <c r="L18" i="10"/>
  <c r="L8" i="5"/>
  <c r="O13" i="5"/>
  <c r="AB7" i="5"/>
  <c r="O16" i="5"/>
  <c r="AB10" i="5"/>
  <c r="D33" i="6"/>
  <c r="O15" i="5"/>
  <c r="AB9" i="5"/>
  <c r="L16" i="5"/>
  <c r="L66" i="5"/>
  <c r="F66" i="5"/>
  <c r="F15" i="5"/>
  <c r="D66" i="5"/>
  <c r="D67" i="5"/>
  <c r="S66" i="5"/>
  <c r="T66" i="5"/>
  <c r="N13" i="5"/>
  <c r="E66" i="5"/>
  <c r="F13" i="5"/>
  <c r="M17" i="5"/>
  <c r="V66" i="5"/>
  <c r="N14" i="5"/>
  <c r="G66" i="5"/>
  <c r="F14" i="5"/>
  <c r="M66" i="5"/>
  <c r="J13" i="5"/>
  <c r="U66" i="5"/>
  <c r="N15" i="5"/>
  <c r="E6" i="5"/>
  <c r="N66" i="5"/>
  <c r="J15" i="5"/>
  <c r="J14" i="5"/>
  <c r="E17" i="5"/>
  <c r="I17" i="5"/>
  <c r="H15" i="5"/>
  <c r="F33" i="5"/>
  <c r="H35" i="3"/>
  <c r="M33" i="5"/>
  <c r="H13" i="5"/>
  <c r="T33" i="5"/>
  <c r="U33" i="5"/>
  <c r="L15" i="5"/>
  <c r="E33" i="5"/>
  <c r="D33" i="5"/>
  <c r="D34" i="5"/>
  <c r="L33" i="5"/>
  <c r="V33" i="5"/>
  <c r="L14" i="5"/>
  <c r="O33" i="5"/>
  <c r="H14" i="5"/>
  <c r="D15" i="5"/>
  <c r="H16" i="5"/>
  <c r="H8" i="5"/>
  <c r="C6" i="5"/>
  <c r="O8" i="5"/>
  <c r="H17" i="5"/>
  <c r="G18" i="5"/>
  <c r="H18" i="5"/>
  <c r="K18" i="5"/>
  <c r="L18" i="5"/>
  <c r="G33" i="5"/>
  <c r="D14" i="5"/>
  <c r="J9" i="5"/>
  <c r="J16" i="5"/>
  <c r="J17" i="5"/>
  <c r="N17" i="5"/>
  <c r="N8" i="5"/>
  <c r="N16" i="5"/>
  <c r="F14" i="10"/>
  <c r="F9" i="10"/>
  <c r="F17" i="10"/>
  <c r="Z8" i="5"/>
  <c r="AA8" i="5"/>
  <c r="D16" i="10"/>
  <c r="F8" i="10"/>
  <c r="F18" i="10"/>
  <c r="O6" i="10"/>
  <c r="AA10" i="5"/>
  <c r="D9" i="10"/>
  <c r="D14" i="10"/>
  <c r="D18" i="10"/>
  <c r="D17" i="10"/>
  <c r="Z9" i="5"/>
  <c r="AA9" i="5"/>
  <c r="P14" i="10"/>
  <c r="P13" i="10"/>
  <c r="H15" i="10"/>
  <c r="O17" i="10"/>
  <c r="H17" i="10"/>
  <c r="O18" i="10"/>
  <c r="H18" i="10"/>
  <c r="P15" i="5"/>
  <c r="F16" i="5"/>
  <c r="F17" i="5"/>
  <c r="F9" i="5"/>
  <c r="P14" i="5"/>
  <c r="P13" i="5"/>
  <c r="F8" i="5"/>
  <c r="I18" i="5"/>
  <c r="J18" i="5"/>
  <c r="E18" i="5"/>
  <c r="F18" i="5"/>
  <c r="M18" i="5"/>
  <c r="N18" i="5"/>
  <c r="O17" i="5"/>
  <c r="D13" i="5"/>
  <c r="W7" i="5"/>
  <c r="X7" i="5"/>
  <c r="L13" i="5"/>
  <c r="AC8" i="5"/>
  <c r="AD8" i="5"/>
  <c r="P9" i="5"/>
  <c r="AC10" i="5"/>
  <c r="AD10" i="5"/>
  <c r="P16" i="5"/>
  <c r="P8" i="5"/>
  <c r="D16" i="5"/>
  <c r="D8" i="5"/>
  <c r="D18" i="5"/>
  <c r="AA7" i="5"/>
  <c r="P16" i="10"/>
  <c r="AA11" i="5"/>
  <c r="P9" i="10"/>
  <c r="AA12" i="5"/>
  <c r="P17" i="10"/>
  <c r="P8" i="10"/>
  <c r="AC9" i="5"/>
  <c r="AD9" i="5"/>
  <c r="AB11" i="5"/>
  <c r="P18" i="10"/>
  <c r="P17" i="5"/>
  <c r="O18" i="5"/>
  <c r="AB12" i="5"/>
  <c r="D9" i="5"/>
  <c r="D17" i="5"/>
  <c r="AC7" i="5"/>
  <c r="AD7" i="5"/>
  <c r="AC11" i="5"/>
  <c r="AD11" i="5"/>
  <c r="AC12" i="5"/>
  <c r="AD12" i="5"/>
  <c r="P18" i="5"/>
  <c r="E18" i="7"/>
  <c r="F18" i="7"/>
  <c r="E23" i="7"/>
  <c r="F23" i="7"/>
  <c r="C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tc={449F2B9B-A9FC-4165-8F14-357048AAF3A0}</author>
  </authors>
  <commentList>
    <comment ref="C2" authorId="0" shapeId="0" xr:uid="{449F2B9B-A9FC-4165-8F14-357048AAF3A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 (2,462 participants), 1016 (First semester of 2022)</t>
      </text>
    </comment>
  </commentList>
</comments>
</file>

<file path=xl/sharedStrings.xml><?xml version="1.0" encoding="utf-8"?>
<sst xmlns="http://schemas.openxmlformats.org/spreadsheetml/2006/main" count="2538" uniqueCount="842">
  <si>
    <t>Gender</t>
  </si>
  <si>
    <t>Q2</t>
  </si>
  <si>
    <t>Female</t>
  </si>
  <si>
    <t>Yes</t>
  </si>
  <si>
    <t>Male</t>
  </si>
  <si>
    <t>No</t>
  </si>
  <si>
    <t>Resonate Follow-up questions</t>
  </si>
  <si>
    <t>1)</t>
  </si>
  <si>
    <t>Has Resonate’s training had an impact on your life? If so, what is the one biggest change that has occurred in your life as a result of Resonate’s training?</t>
  </si>
  <si>
    <t>2)</t>
  </si>
  <si>
    <t>Since Resonate’s training have you (only if not mentioned above):</t>
  </si>
  <si>
    <t>a) Taken on leadership role (formal or informal)</t>
  </si>
  <si>
    <t/>
  </si>
  <si>
    <t xml:space="preserve">b) Gotten a new job or promotion </t>
  </si>
  <si>
    <t/>
  </si>
  <si>
    <t xml:space="preserve">c) Gotten academic opportunity </t>
  </si>
  <si>
    <t/>
  </si>
  <si>
    <t>d) Started a business or a community initiative</t>
  </si>
  <si>
    <t>e) Other</t>
  </si>
  <si>
    <t>3)</t>
  </si>
  <si>
    <t xml:space="preserve"> Do you have anything else to share with us?</t>
  </si>
  <si>
    <t xml:space="preserve">Participant number </t>
  </si>
  <si>
    <t>Obs No</t>
  </si>
  <si>
    <t>Org ID (avr edit)</t>
  </si>
  <si>
    <t>Participant ID</t>
  </si>
  <si>
    <t>Q1: Has Resonate’s training had an impact on your life?If so, what is the one biggest change that has occurred in your life as a result of Resonate’s training?</t>
  </si>
  <si>
    <t>Biggest Impact of Resonate</t>
  </si>
  <si>
    <t>Q2. Since Resonate’s training have you (only if not mentioned above):</t>
  </si>
  <si>
    <t>Q3. Is there anything else to share with us</t>
  </si>
  <si>
    <t>1 yr follow up done?</t>
  </si>
  <si>
    <t>Proactivity</t>
  </si>
  <si>
    <t>yes</t>
  </si>
  <si>
    <t>Survey type: One year follow-up</t>
  </si>
  <si>
    <t>Q4. Is there anything else to share with us</t>
  </si>
  <si>
    <t>Completed 1 year only (Y/N)</t>
  </si>
  <si>
    <t>Resopndents who were interviewed in 6 months and 1 year</t>
  </si>
  <si>
    <t>Six months</t>
  </si>
  <si>
    <t>One Year</t>
  </si>
  <si>
    <t>Six Months only</t>
  </si>
  <si>
    <t>One year only</t>
  </si>
  <si>
    <t>Both Six months &amp; 1 year - 
6 months in</t>
  </si>
  <si>
    <t>Both Six months &amp; 1 year - 
1 year in</t>
  </si>
  <si>
    <t>Final 
(Latest results - either 6 months only or 1 year)</t>
  </si>
  <si>
    <t>Q1 - Has Resonate’s training had an impact on your life? If so, what is the one biggest change that has occurred in your life as a result of Resonate’s training?</t>
  </si>
  <si>
    <t xml:space="preserve">Denominator: all participants </t>
  </si>
  <si>
    <t>Resonate had an impact</t>
  </si>
  <si>
    <t>No impact</t>
  </si>
  <si>
    <t>Q2 - Since Resonate’s training have you (only if not mentioned above):</t>
  </si>
  <si>
    <t>Started Business (Denominator: Only Businesses)</t>
  </si>
  <si>
    <t>Got a job/promotion  (Denominator: All observations)</t>
  </si>
  <si>
    <t>Got academic opportunity  (Denominator: only education institutions )</t>
  </si>
  <si>
    <t>Proactivity  (Denominator: )</t>
  </si>
  <si>
    <t>ANNEX</t>
  </si>
  <si>
    <t>6 months</t>
  </si>
  <si>
    <t>ALL OBSERVATIONS - 6 MONTHS</t>
  </si>
  <si>
    <t>ALL OBSERVATIONS - 6 MONTHS ONLY</t>
  </si>
  <si>
    <t>BOTH SURVEYS - 6 MONTHS IN</t>
  </si>
  <si>
    <t>ID</t>
  </si>
  <si>
    <t># people</t>
  </si>
  <si>
    <t>Business (YN)</t>
  </si>
  <si>
    <t>Education (YN)</t>
  </si>
  <si>
    <t>Organization included in the 6 months only</t>
  </si>
  <si>
    <t>TOTAL</t>
  </si>
  <si>
    <t>1 year</t>
  </si>
  <si>
    <t>ALL OBSERVATIONS - 1 YEAR</t>
  </si>
  <si>
    <t>ALL OBSERVATIONS - 1 YEAR ONLY</t>
  </si>
  <si>
    <t>BOTH SURVEYS - 1 YEAR IN</t>
  </si>
  <si>
    <t>Organization included in 1 year only</t>
  </si>
  <si>
    <t>Most significant Behavior Change</t>
  </si>
  <si>
    <t>Increase in self-awareness and confidence</t>
  </si>
  <si>
    <t xml:space="preserve">Increase in resilience </t>
  </si>
  <si>
    <t>Organization included</t>
  </si>
  <si>
    <t>Behavior Change</t>
  </si>
  <si>
    <t xml:space="preserve">Increase in decision making power </t>
  </si>
  <si>
    <t>One year</t>
  </si>
  <si>
    <t>#</t>
  </si>
  <si>
    <t>%</t>
  </si>
  <si>
    <t xml:space="preserve">Started Business </t>
  </si>
  <si>
    <t xml:space="preserve">Got a job/promotion  </t>
  </si>
  <si>
    <t xml:space="preserve">Got academic opportunity  </t>
  </si>
  <si>
    <t xml:space="preserve">Got Leadership role </t>
  </si>
  <si>
    <t xml:space="preserve">Proactivity </t>
  </si>
  <si>
    <t>In-person</t>
  </si>
  <si>
    <t>Got Leadership role (formal) (Denominator: all observations)</t>
  </si>
  <si>
    <t>Got Leadership role (informal)  (Denominator: all observations)</t>
  </si>
  <si>
    <t>Informal Leadership</t>
  </si>
  <si>
    <t>Age</t>
  </si>
  <si>
    <t>Total</t>
  </si>
  <si>
    <t>Q1</t>
  </si>
  <si>
    <t>Q3</t>
  </si>
  <si>
    <t>Q4</t>
  </si>
  <si>
    <t>Virtual</t>
  </si>
  <si>
    <t>Started a Business</t>
  </si>
  <si>
    <t>Got a Job/Promotion</t>
  </si>
  <si>
    <t>Got an Academic Opportunity</t>
  </si>
  <si>
    <t>Got a Leadership role</t>
  </si>
  <si>
    <t>Participants Trained #</t>
  </si>
  <si>
    <t>Comment</t>
  </si>
  <si>
    <t xml:space="preserve">Participants Surveyed # </t>
  </si>
  <si>
    <t>Targeted Participants #</t>
  </si>
  <si>
    <t>Follow-up target</t>
  </si>
  <si>
    <t>CHECK</t>
  </si>
  <si>
    <t>Job (YN)</t>
  </si>
  <si>
    <t>Survey type: 6 Months Follow-up</t>
  </si>
  <si>
    <t xml:space="preserve">In-person </t>
  </si>
  <si>
    <t># of Participants</t>
  </si>
  <si>
    <t>Consolidated</t>
  </si>
  <si>
    <t>Total surveyed</t>
  </si>
  <si>
    <t>Got an Informal Leadership</t>
  </si>
  <si>
    <t xml:space="preserve">Got Formal Leadership </t>
  </si>
  <si>
    <t>Indicators</t>
  </si>
  <si>
    <t xml:space="preserve">CHECK </t>
  </si>
  <si>
    <t xml:space="preserve">Consolidated </t>
  </si>
  <si>
    <t>Organizations Included</t>
  </si>
  <si>
    <t>Organizations included</t>
  </si>
  <si>
    <t>Girls in ICT - Rise &amp; STEM</t>
  </si>
  <si>
    <t>IPRC Kitabi - SFL</t>
  </si>
  <si>
    <t>Remaining Participants</t>
  </si>
  <si>
    <t xml:space="preserve">Org ID </t>
  </si>
  <si>
    <t>Grand Total</t>
  </si>
  <si>
    <t xml:space="preserve">ESP </t>
  </si>
  <si>
    <t>Tubakunde Group 1</t>
  </si>
  <si>
    <t>Tubakunde Group 2</t>
  </si>
  <si>
    <t>Participants surveyed</t>
  </si>
  <si>
    <t>All participants</t>
  </si>
  <si>
    <t>170</t>
  </si>
  <si>
    <t>145</t>
  </si>
  <si>
    <t>140</t>
  </si>
  <si>
    <t>142</t>
  </si>
  <si>
    <t>143</t>
  </si>
  <si>
    <t>Participants trained for the follow-up period</t>
  </si>
  <si>
    <t>Got academic opportunity  (Denominator: only education institutions)</t>
  </si>
  <si>
    <t>Below 18</t>
  </si>
  <si>
    <t>Above 35</t>
  </si>
  <si>
    <t>19-25 years</t>
  </si>
  <si>
    <t>26-35 years</t>
  </si>
  <si>
    <t>By Number</t>
  </si>
  <si>
    <t>Both six and one year</t>
  </si>
  <si>
    <t xml:space="preserve">One-time </t>
  </si>
  <si>
    <t xml:space="preserve">Note that the workshops that were completed in 2021 are manually entered </t>
  </si>
  <si>
    <t>Six-Months</t>
  </si>
  <si>
    <t>One-Year</t>
  </si>
  <si>
    <t xml:space="preserve"> </t>
  </si>
  <si>
    <t>Respondents who were interviewed in 6 months and 1 year</t>
  </si>
  <si>
    <t>Note that the details from this document are manually entered, and some figures count double participants who were surveyed both in six-months and one year)</t>
  </si>
  <si>
    <t xml:space="preserve">No Follow-ups done </t>
  </si>
  <si>
    <t>Participant Names</t>
  </si>
  <si>
    <t>Community Programs Kirehe (Six-Months - 366)</t>
  </si>
  <si>
    <t>Power Her ( Six-Months - 15)</t>
  </si>
  <si>
    <t xml:space="preserve">Haguruka Rutunga( Six-Months - 12), NWC Remera, Kimironko and Gisozi (Six-Months - 64), Kirehe students ( Six-Months -42), SOS Children Village (Six-Months - 40) </t>
  </si>
  <si>
    <t>I learned that I am a leader</t>
  </si>
  <si>
    <t>Proactivity (Denominator: )</t>
  </si>
  <si>
    <t>Uwamariya Chantal</t>
  </si>
  <si>
    <t>I gained confidence</t>
  </si>
  <si>
    <t>Uwingabire Henriette</t>
  </si>
  <si>
    <t>Enumerator name</t>
  </si>
  <si>
    <t>Diane Niwekirezi</t>
  </si>
  <si>
    <t>Community Programs - Kirehe and Gakenke</t>
  </si>
  <si>
    <t>Mujawamariya Assumpta</t>
  </si>
  <si>
    <t>Munezero Ange</t>
  </si>
  <si>
    <t>Abayisenga Belyse</t>
  </si>
  <si>
    <t>Uwamahoro Mamy</t>
  </si>
  <si>
    <t>Mukeshimana Jeannette</t>
  </si>
  <si>
    <t>Mukamurenzi Ernestine</t>
  </si>
  <si>
    <t>Uwomusa Pascaline</t>
  </si>
  <si>
    <t>Delice Fatiro</t>
  </si>
  <si>
    <t>Diabate Nathanaelle</t>
  </si>
  <si>
    <t>Monique Copine Rutagisha</t>
  </si>
  <si>
    <t>Tumukunde Liliane</t>
  </si>
  <si>
    <t>Ntagisanimana Jeannette</t>
  </si>
  <si>
    <t>Uwamariya Jeannette</t>
  </si>
  <si>
    <t>Uwiduhaye Fazirah</t>
  </si>
  <si>
    <t>Ntagisanimana Olive</t>
  </si>
  <si>
    <t>Uwimpuhwe Clarisse</t>
  </si>
  <si>
    <t>Mutoniwase Huguette</t>
  </si>
  <si>
    <t>Uwikunda Zahara</t>
  </si>
  <si>
    <t>Uwase Beatrice</t>
  </si>
  <si>
    <t>Irakoze Sandrine</t>
  </si>
  <si>
    <t>Ndacyayisenga jacqueline</t>
  </si>
  <si>
    <t>Uzayisenga Jeannine</t>
  </si>
  <si>
    <t>Tuyizere Nadine</t>
  </si>
  <si>
    <t>Izadufashe Esperancie</t>
  </si>
  <si>
    <t>Nyiranduhura Anitha</t>
  </si>
  <si>
    <t>Ibyimanikora Esther</t>
  </si>
  <si>
    <t>Yankurije Sophie</t>
  </si>
  <si>
    <t>Niyomwungeri Faina</t>
  </si>
  <si>
    <t>Uwitonze Josiane</t>
  </si>
  <si>
    <t>Uwimbabazi Adelphine</t>
  </si>
  <si>
    <t>Musabyemariya Valentine</t>
  </si>
  <si>
    <t>Musanabageni Jacqueline</t>
  </si>
  <si>
    <t>Muhawenimana Jeannine</t>
  </si>
  <si>
    <t>Musabyeyezu Solange</t>
  </si>
  <si>
    <t>Uwamariya Divine</t>
  </si>
  <si>
    <t>Uwiringiyimana Assumpta</t>
  </si>
  <si>
    <t>Tubazimana Jehovanis</t>
  </si>
  <si>
    <t>Musabyimana Albertine</t>
  </si>
  <si>
    <t>Nyirakobwa Ruth</t>
  </si>
  <si>
    <t>Uwagitare CLarisse</t>
  </si>
  <si>
    <t>Nyiraneza josiane</t>
  </si>
  <si>
    <t>Tayifa sandrine</t>
  </si>
  <si>
    <t>Nirere Angelique</t>
  </si>
  <si>
    <t>Mugiramana Delphine</t>
  </si>
  <si>
    <t>Ishimwe Josiane</t>
  </si>
  <si>
    <t>Nyirabaginama madina</t>
  </si>
  <si>
    <t>Uwamurere Mediatrice</t>
  </si>
  <si>
    <t>Ntiratureka Zilipa</t>
  </si>
  <si>
    <t>Mukanoheli Claudine</t>
  </si>
  <si>
    <t>Uwase Claudine</t>
  </si>
  <si>
    <t>Icyitegetse Triphine</t>
  </si>
  <si>
    <t>Yambabariye Cecile</t>
  </si>
  <si>
    <t>Uwimana Francine</t>
  </si>
  <si>
    <t>Uwamahoro Constantine</t>
  </si>
  <si>
    <t>Uwimana Josiane</t>
  </si>
  <si>
    <t>Uwimana Jeanne</t>
  </si>
  <si>
    <t>Nyirahabimana elina</t>
  </si>
  <si>
    <t xml:space="preserve">Dusabimana Denise </t>
  </si>
  <si>
    <t>Mugabekazi Regine</t>
  </si>
  <si>
    <t>Uwineza clenia</t>
  </si>
  <si>
    <t xml:space="preserve">Yamfashije Juliet </t>
  </si>
  <si>
    <t>Mukanizeyimana Verdiane</t>
  </si>
  <si>
    <t>Uwamariya Vestine</t>
  </si>
  <si>
    <t>Mucyo Liliane</t>
  </si>
  <si>
    <t>Kamanyana Elizabeth</t>
  </si>
  <si>
    <t>Niyomuhoza Marie</t>
  </si>
  <si>
    <t>Uwase Liliane</t>
  </si>
  <si>
    <t>Niyodusenga</t>
  </si>
  <si>
    <t>Mukamugena Claudine</t>
  </si>
  <si>
    <t>Nyirahabimana Seraphine</t>
  </si>
  <si>
    <t>Inyange clemantine</t>
  </si>
  <si>
    <t>Dushimimana</t>
  </si>
  <si>
    <t>Niyonsenga Sifa</t>
  </si>
  <si>
    <t>Bayavuge Valentine</t>
  </si>
  <si>
    <t>Yankurije Violette</t>
  </si>
  <si>
    <t>Uwanyirimpuhwe Rosette</t>
  </si>
  <si>
    <t>Nishimwe Laurence</t>
  </si>
  <si>
    <t>Uwingabire Esther</t>
  </si>
  <si>
    <t>Niyonagira Florence</t>
  </si>
  <si>
    <t>Mukaniyonsenga francine</t>
  </si>
  <si>
    <t>Niyongira Francine</t>
  </si>
  <si>
    <t>Ihimbazwe Jeanne D'Arc</t>
  </si>
  <si>
    <t>Uwituze Anita</t>
  </si>
  <si>
    <t>Mukatuyizere Ernestine</t>
  </si>
  <si>
    <t>Iribagiza Rebecca</t>
  </si>
  <si>
    <t>Nikuze Pascasie</t>
  </si>
  <si>
    <t>Hozanna Virginia</t>
  </si>
  <si>
    <t>Mukamana Dative</t>
  </si>
  <si>
    <t>Mukandayisenga Musarama</t>
  </si>
  <si>
    <t>Uwimana Angelique</t>
  </si>
  <si>
    <t>Iradukunda Angelique</t>
  </si>
  <si>
    <t>Iradukunda Marie Laetitia</t>
  </si>
  <si>
    <t>Ishimwe Cecile</t>
  </si>
  <si>
    <t>Tuyisenge Valentine</t>
  </si>
  <si>
    <t>Ntihemuka Ruth</t>
  </si>
  <si>
    <t>Mukansengimana Clarisse</t>
  </si>
  <si>
    <t>Dushimimana Costasie</t>
  </si>
  <si>
    <t>Uwimpuhwe Pascaline</t>
  </si>
  <si>
    <t>Uwamahoro Vestine</t>
  </si>
  <si>
    <t>Uwineza Sophie</t>
  </si>
  <si>
    <t>Niyonizeye Solange</t>
  </si>
  <si>
    <t>Bukuru Jeanne</t>
  </si>
  <si>
    <t>Manirakoze Francine</t>
  </si>
  <si>
    <t>Muhimpundu Violette</t>
  </si>
  <si>
    <t>Yamfashije Veronique</t>
  </si>
  <si>
    <t>Mukadusabe Marine</t>
  </si>
  <si>
    <t>Murisanga Clementine</t>
  </si>
  <si>
    <t>Mukaneza Vestine</t>
  </si>
  <si>
    <t>Nshimiyimana Belyse</t>
  </si>
  <si>
    <t>Uwimana Chantal</t>
  </si>
  <si>
    <t>Yankurije Diane</t>
  </si>
  <si>
    <t>Mukeshimana Alphonsine</t>
  </si>
  <si>
    <t>Mutoniwase</t>
  </si>
  <si>
    <t>Akayezu Devotha</t>
  </si>
  <si>
    <t>Uwingeneye Divine</t>
  </si>
  <si>
    <t>Nayituriki  Verdiane</t>
  </si>
  <si>
    <t>Muhawenimana Latifa</t>
  </si>
  <si>
    <t>Ishimwe Clarisse</t>
  </si>
  <si>
    <t>Ishimwe Rose</t>
  </si>
  <si>
    <t>Mukangenzi Oliva</t>
  </si>
  <si>
    <t>Uzamukunda Marie</t>
  </si>
  <si>
    <t>Mukeshimana Liliane</t>
  </si>
  <si>
    <t>Yamuragiye vestine</t>
  </si>
  <si>
    <t>Uwimana Joselyne 1</t>
  </si>
  <si>
    <t>Niyigena Francine</t>
  </si>
  <si>
    <t>Uwimana Magnifique</t>
  </si>
  <si>
    <t>Uwanyirigira  Adeltina</t>
  </si>
  <si>
    <t>Kayitesi Belyse</t>
  </si>
  <si>
    <t>Nirere Pacifique</t>
  </si>
  <si>
    <t>Umumararugu Sonia</t>
  </si>
  <si>
    <t>Kantengwa Elizabeth</t>
  </si>
  <si>
    <t>Uwimana Renatha</t>
  </si>
  <si>
    <t>Niyomuhoza Donatha</t>
  </si>
  <si>
    <t>Uwingeneye Olive</t>
  </si>
  <si>
    <t>Mukandayisenga Donatille</t>
  </si>
  <si>
    <t>Mukanzabarushimana Diane</t>
  </si>
  <si>
    <t>Uwineza Annonciata</t>
  </si>
  <si>
    <t>Niyongira Esther</t>
  </si>
  <si>
    <t>Ingabire Mukandayisabye</t>
  </si>
  <si>
    <t>Buhungiro Ruth</t>
  </si>
  <si>
    <t>Ntamakemwa Salama</t>
  </si>
  <si>
    <t>Iradukunda Ruth</t>
  </si>
  <si>
    <t>Nyiranzabahimana Ruth</t>
  </si>
  <si>
    <t>Yandereye Alice</t>
  </si>
  <si>
    <t>Uwimpaye Fabiola</t>
  </si>
  <si>
    <t>Imananiyibizi Colette</t>
  </si>
  <si>
    <t>Mutuyemariya Josiane</t>
  </si>
  <si>
    <t>Ishimwe Henriette</t>
  </si>
  <si>
    <t>Yankurije Dative</t>
  </si>
  <si>
    <t>Nzamukosha Belyse</t>
  </si>
  <si>
    <t>Nirere Josiane</t>
  </si>
  <si>
    <t xml:space="preserve">Umurisa Beatrice </t>
  </si>
  <si>
    <t>Mukatwizeyimana Anitha</t>
  </si>
  <si>
    <t xml:space="preserve">Tuyisenge Divine </t>
  </si>
  <si>
    <t>Niyodusenga Germaine</t>
  </si>
  <si>
    <t>Uwera Ruth</t>
  </si>
  <si>
    <t>Mukamanishimwe Emelyne</t>
  </si>
  <si>
    <t>Mumararungu Alright</t>
  </si>
  <si>
    <t>Tuyizere Adeline</t>
  </si>
  <si>
    <t>Mukabagwiza Annonciatha</t>
  </si>
  <si>
    <t>Mutoni Marie Louise</t>
  </si>
  <si>
    <t>Uwamahoro Diane</t>
  </si>
  <si>
    <t>Mukankuriza Dorcas</t>
  </si>
  <si>
    <t>Ingabire Divine</t>
  </si>
  <si>
    <t>Niyokwizerwa Clementine</t>
  </si>
  <si>
    <t>Mukeshimana Clementine</t>
  </si>
  <si>
    <t>Kuradusenge Sandrine</t>
  </si>
  <si>
    <t>Hagabimana Adelphina</t>
  </si>
  <si>
    <t>Mushimiyimana Ernestine</t>
  </si>
  <si>
    <t>Manizabayo joselyne</t>
  </si>
  <si>
    <t>Abayisenga Claire</t>
  </si>
  <si>
    <t>Iradukunda Sandrine</t>
  </si>
  <si>
    <t>Manishimwe Adeline</t>
  </si>
  <si>
    <t>Uwamahoro Francine</t>
  </si>
  <si>
    <t>Itangishaka Nadine</t>
  </si>
  <si>
    <t>Uwamahoro Viviane</t>
  </si>
  <si>
    <t>Mukeshimana Laurence</t>
  </si>
  <si>
    <t>Manirahari Elisabeth</t>
  </si>
  <si>
    <t>Muhawenimana Marie Goreth</t>
  </si>
  <si>
    <t>Mukandayishimiye Claudine</t>
  </si>
  <si>
    <t>Ukubereyimfura Josephine</t>
  </si>
  <si>
    <t>Nyiratunga Marie Claire</t>
  </si>
  <si>
    <t>Mutoni Liliane</t>
  </si>
  <si>
    <t>Muhoza Pamela</t>
  </si>
  <si>
    <t xml:space="preserve">Mukundwa </t>
  </si>
  <si>
    <t>Ahishakiye immaculee</t>
  </si>
  <si>
    <t>Mukamutesi Joyeuse</t>
  </si>
  <si>
    <t>Byukusenge Floride</t>
  </si>
  <si>
    <t>Mushimiyimana Felicite</t>
  </si>
  <si>
    <t>Irasubiza Deborah</t>
  </si>
  <si>
    <t>Nyiragendo Nadia</t>
  </si>
  <si>
    <t>Uwimpuhwe Chantal</t>
  </si>
  <si>
    <t>Umumararungu Anitha</t>
  </si>
  <si>
    <t>Muhawenimana Anitha</t>
  </si>
  <si>
    <t>Uwamahoro Sarah</t>
  </si>
  <si>
    <t>Jeanette Mukazayire</t>
  </si>
  <si>
    <t>Jeannine Umutoni</t>
  </si>
  <si>
    <t>Uwingabire Gisele</t>
  </si>
  <si>
    <t>Uwamahoro Clarisse</t>
  </si>
  <si>
    <t>Musabyeyezu Valentine</t>
  </si>
  <si>
    <t>Uwizera Alice</t>
  </si>
  <si>
    <t>Ahezanayo Violetta</t>
  </si>
  <si>
    <t>Nzamurera Sandrine</t>
  </si>
  <si>
    <t>Musabeyezu Valentine</t>
  </si>
  <si>
    <t>Yambabariye Olive</t>
  </si>
  <si>
    <t>Uwagahozo Devotha</t>
  </si>
  <si>
    <t>Ingabire Fereste</t>
  </si>
  <si>
    <t>Muhawenimana Immaculee</t>
  </si>
  <si>
    <t>Uwamahoro Janviere</t>
  </si>
  <si>
    <t>Umutesi Marie Solange</t>
  </si>
  <si>
    <t>Mukadusenge rehema</t>
  </si>
  <si>
    <t>Uwimana Joselyne 2</t>
  </si>
  <si>
    <t>Mugwaneza Mediatrice</t>
  </si>
  <si>
    <t>Iradukunda Monique</t>
  </si>
  <si>
    <t>Ishimwe Elisabeth</t>
  </si>
  <si>
    <t>Irakoze Divine</t>
  </si>
  <si>
    <t>Mukanzabarushimana Gentille</t>
  </si>
  <si>
    <t>Nirembere olive</t>
  </si>
  <si>
    <t>Iradukunda Alice</t>
  </si>
  <si>
    <t>Mutoni Chantal</t>
  </si>
  <si>
    <t>Uwimbabazi</t>
  </si>
  <si>
    <t>Niyigena Philomene</t>
  </si>
  <si>
    <t>Iradukunda Aline</t>
  </si>
  <si>
    <t>Uwimpuhwe Neema</t>
  </si>
  <si>
    <t>Nyirabera Marie</t>
  </si>
  <si>
    <t>Mukaneza Shemsa</t>
  </si>
  <si>
    <t>Manirabaruta Chantal</t>
  </si>
  <si>
    <t>Nayituriki Martin</t>
  </si>
  <si>
    <t>Nisingizwe Honorine</t>
  </si>
  <si>
    <t>Akimanizanye Theresie</t>
  </si>
  <si>
    <t>Nyirandikubwimana Florentine</t>
  </si>
  <si>
    <t>Iradukunda Valentine</t>
  </si>
  <si>
    <t>Niyigena Denyse</t>
  </si>
  <si>
    <t>Twiringiyimana Jean</t>
  </si>
  <si>
    <t>Akingeneye Vanessa</t>
  </si>
  <si>
    <t>Tumukunde Solange</t>
  </si>
  <si>
    <t>Imurinde Jean Baptiste</t>
  </si>
  <si>
    <t>Nikuze Henriette</t>
  </si>
  <si>
    <t>Mukandanga Marie Chantal</t>
  </si>
  <si>
    <t>Mushimiyimana Elina</t>
  </si>
  <si>
    <t>Dushime</t>
  </si>
  <si>
    <t>Irarebamucyo Jean De Dieu</t>
  </si>
  <si>
    <t>Niyodusenga Emmanuel</t>
  </si>
  <si>
    <t>Umutesi Francine</t>
  </si>
  <si>
    <t>Tuyishimire Claudine</t>
  </si>
  <si>
    <t>Nsengimana Azarias</t>
  </si>
  <si>
    <t>Musabyimana Gloriose</t>
  </si>
  <si>
    <t>Tuyishime Liliane</t>
  </si>
  <si>
    <t>Uwingeye clemence</t>
  </si>
  <si>
    <t>Nyiransengimana marie Edrune</t>
  </si>
  <si>
    <t>Vestine Niyomwungeri</t>
  </si>
  <si>
    <t>Muhawenimana</t>
  </si>
  <si>
    <t>Patricie murekatete</t>
  </si>
  <si>
    <t>Tuyizere Domithilia</t>
  </si>
  <si>
    <t>Niyonsaba Florence</t>
  </si>
  <si>
    <t>Tuyizere Shadrack</t>
  </si>
  <si>
    <t xml:space="preserve">Igirimpuhwe Fabrice </t>
  </si>
  <si>
    <t>Ihirwe Odile</t>
  </si>
  <si>
    <t>Kakuze Solange</t>
  </si>
  <si>
    <t>Uwingabire delphine</t>
  </si>
  <si>
    <t>Uwase Belyse</t>
  </si>
  <si>
    <t>Olive Tuyishimire</t>
  </si>
  <si>
    <t>Isingizwe Eloi</t>
  </si>
  <si>
    <t>Alice Uwineza</t>
  </si>
  <si>
    <t>Joselyne Tuyambaze</t>
  </si>
  <si>
    <t>Claudette Mufashijwenimana</t>
  </si>
  <si>
    <t>Ildephonse Habimana</t>
  </si>
  <si>
    <t>Pacifique Uwiringiye</t>
  </si>
  <si>
    <t>Ezeckiel Nteziryayo</t>
  </si>
  <si>
    <t>Simon Twizerimana</t>
  </si>
  <si>
    <t>Marie Niyonizera</t>
  </si>
  <si>
    <t>Telesfore Niyomugaba</t>
  </si>
  <si>
    <t>Honorine Abizeyimana</t>
  </si>
  <si>
    <t>Aline Dushimiyimana.</t>
  </si>
  <si>
    <t>Mukeshimana Vestine</t>
  </si>
  <si>
    <t>Dufitinshuti Vestine</t>
  </si>
  <si>
    <t>Delphine Manishimwe</t>
  </si>
  <si>
    <t>Mukabatesi Beatrice</t>
  </si>
  <si>
    <t>Ishimwe Nadia</t>
  </si>
  <si>
    <t>Ishimwe Anitha</t>
  </si>
  <si>
    <t>Munezero Louise</t>
  </si>
  <si>
    <t>Mutezimana Francoise</t>
  </si>
  <si>
    <t>Dalia Uwurukundo</t>
  </si>
  <si>
    <t>Josiane Akimanizanye</t>
  </si>
  <si>
    <t>Umuziranenge Rosine</t>
  </si>
  <si>
    <t>Muhawenimana Beatrice</t>
  </si>
  <si>
    <t>Henriette</t>
  </si>
  <si>
    <t>Vanessa Kuradusenge.</t>
  </si>
  <si>
    <t>Hagenimana Goretti</t>
  </si>
  <si>
    <t>Manirafasha Adelphine</t>
  </si>
  <si>
    <t>Iradukunda Leontine</t>
  </si>
  <si>
    <t>Dusabimana Brigitte</t>
  </si>
  <si>
    <t>Uwiduhaye Clementine</t>
  </si>
  <si>
    <t>Habakwizera Placide</t>
  </si>
  <si>
    <t>Josiane Ingabire</t>
  </si>
  <si>
    <t>Mukeshimana Hycintha</t>
  </si>
  <si>
    <t>Delphine Muhayimana</t>
  </si>
  <si>
    <t>Mugabekazi Emelyne</t>
  </si>
  <si>
    <t>Sandrine Muhayimana</t>
  </si>
  <si>
    <t>Jacqueline uwifashije</t>
  </si>
  <si>
    <t>Nyiramberinshuti Ruth</t>
  </si>
  <si>
    <t>Mukatuyizere Denyse</t>
  </si>
  <si>
    <t>Nishimwe Clarisse</t>
  </si>
  <si>
    <t>Umfuyisoni Seraphine</t>
  </si>
  <si>
    <t>Nyirahabimana Joselyne</t>
  </si>
  <si>
    <t>Havugiyaremye Josephine</t>
  </si>
  <si>
    <t>Mukawizeye Angelique</t>
  </si>
  <si>
    <t>Nyirahabineza Francine</t>
  </si>
  <si>
    <t>Bigirimana Jean Claude</t>
  </si>
  <si>
    <t>Vumiliya Aline</t>
  </si>
  <si>
    <t>Dushimiyimana Aline</t>
  </si>
  <si>
    <t>Namahirwe Providence</t>
  </si>
  <si>
    <t>Gatoya</t>
  </si>
  <si>
    <t>Tuyishimire Clementine</t>
  </si>
  <si>
    <t>Tuyisenge Renata</t>
  </si>
  <si>
    <t>uwanyirigira delifina</t>
  </si>
  <si>
    <t>Uwineza Emelyne</t>
  </si>
  <si>
    <t>Mutoni</t>
  </si>
  <si>
    <t>Mukeshimana Safina</t>
  </si>
  <si>
    <t>Nyamwiza Jacqueline</t>
  </si>
  <si>
    <t>Uwase Lamia</t>
  </si>
  <si>
    <t>Umubyeyi Aline</t>
  </si>
  <si>
    <t>Mutuyimana Francoise</t>
  </si>
  <si>
    <t>Mukagakuru Charlotte</t>
  </si>
  <si>
    <t>Mukabeza Solange</t>
  </si>
  <si>
    <t>Bugingo theoneste</t>
  </si>
  <si>
    <t>Kayitesi Emilienne</t>
  </si>
  <si>
    <t xml:space="preserve">Mukanoheri Joselyne
</t>
  </si>
  <si>
    <t>Nibarere clementine</t>
  </si>
  <si>
    <t>Divine marie Uwayisenga</t>
  </si>
  <si>
    <t>Ntihabose Rachel</t>
  </si>
  <si>
    <t>Nirere Anonciata</t>
  </si>
  <si>
    <t>Musabyemariya Jeannette</t>
  </si>
  <si>
    <t>Mukadusabe Joselyne</t>
  </si>
  <si>
    <t>Uwituze Josiane 2</t>
  </si>
  <si>
    <t>Uwineza Claudine</t>
  </si>
  <si>
    <t>Perpetue Nkezimana</t>
  </si>
  <si>
    <t>Niyigena Marie</t>
  </si>
  <si>
    <t>Uwimana Zawadi</t>
  </si>
  <si>
    <t>Uwinganire Anick</t>
  </si>
  <si>
    <t>Uwineza Beatha</t>
  </si>
  <si>
    <t>Uwayesu Jocelyne</t>
  </si>
  <si>
    <t>Muhawenimana florence</t>
  </si>
  <si>
    <t>Uwineza Jocelyne</t>
  </si>
  <si>
    <t>Yankurije Louise</t>
  </si>
  <si>
    <t>mukadusabe    kerematina</t>
  </si>
  <si>
    <t>uwimana  berenadette</t>
  </si>
  <si>
    <t>uwamahoro  porovidase</t>
  </si>
  <si>
    <t>muhawenimana  devota</t>
  </si>
  <si>
    <t>uwamahoro   juriyett</t>
  </si>
  <si>
    <t>uwimana   cloundina</t>
  </si>
  <si>
    <t>Nizeyimana   rorasi</t>
  </si>
  <si>
    <t>mukashema   jean</t>
  </si>
  <si>
    <t>mutuminka   viyoreta</t>
  </si>
  <si>
    <t>uwiringiyimana   eriyane</t>
  </si>
  <si>
    <t>mukansanga      rasheri</t>
  </si>
  <si>
    <t>Nyirimbabazi   donath</t>
  </si>
  <si>
    <t>mushimiyimana     olive</t>
  </si>
  <si>
    <t>Niyonsenga christine</t>
  </si>
  <si>
    <t>Mushimiyimana ediriane</t>
  </si>
  <si>
    <t>Mushimiyimana marie chantal</t>
  </si>
  <si>
    <t>Uwinema pasiphiqwe</t>
  </si>
  <si>
    <t>Uwimana joselyne</t>
  </si>
  <si>
    <t>Musaniwabo ovine</t>
  </si>
  <si>
    <t>Irihangana alianne</t>
  </si>
  <si>
    <t>Iribagiza diane</t>
  </si>
  <si>
    <t>Kampire claudine</t>
  </si>
  <si>
    <t>Uwituze josiane</t>
  </si>
  <si>
    <t>Mukasine sara</t>
  </si>
  <si>
    <t>Uwamariya odette</t>
  </si>
  <si>
    <t>Muhawenimana Esther</t>
  </si>
  <si>
    <t>Dusabimana clarise</t>
  </si>
  <si>
    <t>Niyigena beth</t>
  </si>
  <si>
    <t>Mukadusenge olive</t>
  </si>
  <si>
    <t>Niyireba Clementine</t>
  </si>
  <si>
    <t>I gained confidence; The workshop taught me to believe in myself. I bought a chicken ( started an income generating activity). I can make my own decisions, and I can buy my own clothes. I also got a leadership role in our savings group.  I am a farmer and I rear domestic animals, I also am part of a group. The workshop taught me believing in myself. I can make my own decisions, and I can buy own clothes</t>
  </si>
  <si>
    <t>After the workshop with Scovia, I gained confidence, and learned that there is actually life after this one. With the transport reimbursement received, I gave an idea to my brother and we bought a pig and now it has pig babies. I want to have as many as possible so that I can sell them and buy a sewing machine. ( Though I really wanted to become a mechanician). (Income generating activity) - business. Leadership role as disciplinary in the group</t>
  </si>
  <si>
    <t>I gained confidence, I felt capable and bought chickens so that I can start small and buy my own sewing machine ( business). I also got a job. I work in a restaurant , the workshop helped me realize my potential</t>
  </si>
  <si>
    <t xml:space="preserve"> It helped me to want to develop myself and to look for opportunities. I buy tomatoes and resell them ( business). I started selling tomatoes. Believing in myself and knowing that I am capable was the first push</t>
  </si>
  <si>
    <t xml:space="preserve"> Before the workshop, I was always at home, did not want to go out to avoid those who you used to mock me because I had a baby at a young age. The workshop taught me to believe in myself and to have courage and I have bought a pig ( I got the money from farming) - My goal is to buy a cow - business</t>
  </si>
  <si>
    <t>I made new connections and I learned prevention. I still have a young baby so I am not able to do much but I have a leadership role as the president of a savings group</t>
  </si>
  <si>
    <t>I bought a chicken and a goat ( business)</t>
  </si>
  <si>
    <t xml:space="preserve"> After having a baby, I did not want to be with others, I was too lonely and depressed because all my friends had stopped talking to me. But after the workshop, I stand tall, go out and I have so much belief in self.</t>
  </si>
  <si>
    <t>Being confident, knowing that wherever I am, I am a leader. I started a small business selling onions, it's been a month.</t>
  </si>
  <si>
    <t>I believe in myself more and I look for opportunities. I started a small business of selling uduconco</t>
  </si>
  <si>
    <t xml:space="preserve"> I was living a lonely life because of teen pregnancy, but after the workshop I gained the confidence and started getting out of the house. I bought a duck (started an income-generating activity) but my child had an issue (ingurube yamukandagiye ugutwi) and I sold it to take care of hospital expenses.</t>
  </si>
  <si>
    <t>In the workshop, we learned self development and advancement. I bought a pig, joined a savings group called Twiteze Imbere where I save 600 Rwf per week. I was a already a business woman selling tomatoes though.</t>
  </si>
  <si>
    <t xml:space="preserve">I am now confident; I look for opportunities. Before the workshop, I would not be able to do it at all. It was hard for me to be around others.  </t>
  </si>
  <si>
    <t>I accepted myself and my situation and I don't feel lonely anymore.</t>
  </si>
  <si>
    <t>Right after getting pregnant, I became so lonely but because of the way they taught us, advising us not to be lonely , it helped me be confident and I now see myself differently.</t>
  </si>
  <si>
    <t xml:space="preserve"> I have now bought domestic animals, a chicken and a piglet. From the transport reimbursement I received of 8,000 Rwf, I topped it. I have more confidence to work really hard and focus on myself because there used to be a neighbour man who wants to take advantage of me, to stop that because I want to be independent</t>
  </si>
  <si>
    <t xml:space="preserve"> They taught us to work hard to develop ourselves, I bought a goat, and it is now pregnant. Scovia taught us to be confident</t>
  </si>
  <si>
    <t xml:space="preserve"> I used to be someone who did not believe in themselves but now I have learned that I am not the only one going through this and I feel so much at peace</t>
  </si>
  <si>
    <t>I gained confidence and I learned that I am a leader</t>
  </si>
  <si>
    <t xml:space="preserve"> I now bought a goat. Started a business</t>
  </si>
  <si>
    <t xml:space="preserve"> I used to feel worthless because I am a teen mother, but I started even to share ideas in our savings groups. I bought my own chickens</t>
  </si>
  <si>
    <t>Because of my pregnancy, life stopped for a minute and it was really hard but I learned that I am a leader. Being with others helped me to accept myself. I used to just stay at home, and my step mother was not easy on me and it would worsen my depression - but it is very different now.</t>
  </si>
  <si>
    <t>Before the workshop, I used to buy clothes or shoes if I made some money with me. I gained knowledge to save, I bought a domestic animal (started an income-generating activity), and my goal is to buy a plot of land.</t>
  </si>
  <si>
    <t xml:space="preserve"> I learned to live in harmony with others and being more confident</t>
  </si>
  <si>
    <t xml:space="preserve"> I was not part of any groups but now I am</t>
  </si>
  <si>
    <t>It gave me confidence, I am now self-employed</t>
  </si>
  <si>
    <t>I have now accepted my situation</t>
  </si>
  <si>
    <t>I am now confident</t>
  </si>
  <si>
    <t xml:space="preserve"> I developed myself and I now bought a goat (started an income generating activity)</t>
  </si>
  <si>
    <t>I bought a goat, I did not have it before.</t>
  </si>
  <si>
    <t xml:space="preserve"> Before the training, I did not believe in myself, but now after this, I am more confident.</t>
  </si>
  <si>
    <t xml:space="preserve"> Because I am a teen mother, I thought my life had ended, but because of the workshop, I am living a life that has purpose. GS Gacuba. S2.  Resonate helped me to have confidence go back to school and being able to ask for help to the authorities. I am in senior 2 at GS Gacuba</t>
  </si>
  <si>
    <t>Ntarajya mu mahugurwa nari narihebye, ntahantu njya, gusa nahuye nabandi bafite ikibazo nk'icyanjye, ngura agakoko kampa igi ry'umwana. (Afite ababyeyi bamufata nabi cyane - hari akantu katameze neza)</t>
  </si>
  <si>
    <t>Kwitinyuka - mbere sinagendaga mu muhanda - njya ngura igitoki ngacuruza - namenye ko ari njye wifitiye akamaro kuko ubuzima ari ubwanjye. Mbere nari ncecetse sinaganira.</t>
  </si>
  <si>
    <t>Sinabashaga kuvuga imbere y'abandi mbere numvaga bitashoboka kubera isoni. I have one goat</t>
  </si>
  <si>
    <t>Nihaye icyizere, numva ko najya mubandi nkahagarara mu bandi. I Nyakarambi, batubajije icyo twagezeho abe ari njye uvuga</t>
  </si>
  <si>
    <t>Naritinyaga ariko Hafsa amaze kuduhugura numvise mbohotse. Ubu ncuruza inyanya</t>
  </si>
  <si>
    <t>Yankuye mu bwigunge, ibyo natekerezaga numvaga ari ubusa ubu nsigaye numva byarahindutse. Nafashe udufaranga inyanya, utujanga, agasosi maze mbasha kubona ihene.</t>
  </si>
  <si>
    <t>Kumva ndi umuyobozi, gushiraho intego Kandi ndikugenda mbigeraho</t>
  </si>
  <si>
    <t>Nihaye intego  nkora cyane Kandi mbigeraho, nakoraga muri tasi</t>
  </si>
  <si>
    <t>Wiremyemo ikizere , nakoze cyanye  curuza imbuto mbasha kwicemurira ibibazo</t>
  </si>
  <si>
    <t>Gaining confidence and working on my goals</t>
  </si>
  <si>
    <t>Naratinyutse, namaze no kugera kuntego pfashijwe na resonate</t>
  </si>
  <si>
    <t xml:space="preserve">Twaratinyutse , twiteje imbere, ubu nsigaye ncuruza inyanya </t>
  </si>
  <si>
    <t>Kwizigama amafaranga, no  gushiraho intego knd nkazigeraho</t>
  </si>
  <si>
    <t>I am now confident and I learned savings</t>
  </si>
  <si>
    <t>Ndizigama mwitsinda rya mado</t>
  </si>
  <si>
    <t>Kwiteza imbere muntego dufite / ubu ndacuruza  imboga ,inyanya na voka</t>
  </si>
  <si>
    <t>Ubu namenye uko nitwara ikibazo ngira nkajikemurira</t>
  </si>
  <si>
    <t>Nabashije kwitinyuka</t>
  </si>
  <si>
    <t>I returned to school</t>
  </si>
  <si>
    <t>Nigiriye ikizere cyogukora ibintibitandukanye ntakoraga</t>
  </si>
  <si>
    <t>Namenye kwigurira imyenda</t>
  </si>
  <si>
    <t>Navuye mubwigunge</t>
  </si>
  <si>
    <t>I learned to create my own opportunities</t>
  </si>
  <si>
    <t>Sinarigutembera ariko Ubu mbasha kujya ahabandi Bari nomwitsinda</t>
  </si>
  <si>
    <t>Nsigayenzi kuvugira muruhame</t>
  </si>
  <si>
    <t>Nagiye mubina mumutwe harafunguka</t>
  </si>
  <si>
    <t>Naratinyutse nigirira icyizere</t>
  </si>
  <si>
    <t>Nabashije kwitinyuka nkavuga</t>
  </si>
  <si>
    <t>I gained confidence and I am now part of a group</t>
  </si>
  <si>
    <t>Nanyeyemo kwiteza imbere,naguzemo ihene ninkoko 2. I learned to develop myself, I bought goats and two chickens</t>
  </si>
  <si>
    <t xml:space="preserve"> In the transport reimbursement received, I bought two chickens</t>
  </si>
  <si>
    <t>Nigiriye ikizere kandi naniteza imbere namenyeko ndi umuyobozi</t>
  </si>
  <si>
    <t>Yatumye nitinyuka niyumvamo nk'umuyobozi - urugero: umwana yarandwaranye mujyana kwa muganga nijyana kwa muganga marayo iminsi ariko nijyanye ntawe nsabye gusa ubwishyu bwarangoye</t>
  </si>
  <si>
    <t>Namenye icyo indangagaciro ari cyo - nta nubwo nari nzi ko zibaho ubu nubaha abakuru</t>
  </si>
  <si>
    <t>Nahise menya gutinyuka kuburyo navugira mu ruhame - twagiye ku karere, maze ndamanika ndavuga mvuga icyo amahugurwa yampinduyeho</t>
  </si>
  <si>
    <t>Tuza mu mahugurwa natijyaga abantu bose kuko nabyaye nasanze atari njye njyenyine ubu nsigaye nganira n'abantu</t>
  </si>
  <si>
    <t>Banyigishije iterambere, kwiyakira, uko umuntu yakwitinyuka. Mbere numvaga mfite ubwoba banagutuma ukanga kubera gutinya kuko abantu ntibwabakiraga. Ariko ubu ntaho utajya</t>
  </si>
  <si>
    <t>Ntaraza mu mahugurwa, sinajyaga mubantu , nahise nitinyuka, nganira n'abandi  ngira inama abandi</t>
  </si>
  <si>
    <t>Mbere nagendaga nitinya, sinari kugira uwo mbwira, sinari nisanzuye, batwigishije ko twaba abayobozi - mbasha kwiyumva umuntu nk'abandi</t>
  </si>
  <si>
    <t>Nkitwara inda naritinyaga, ariko ubu naritinyutse. Nsigaye nshora, nkacuruza binyereka ko nitinyutse. Ncuruza inyanya.</t>
  </si>
  <si>
    <t>Naritinyaga, numvaga kuba narabyaye ntari umuntu - nkatinya abantu, nkumva ko bahora banseka - ubu ndi matsinda abiri ( rimwe naribagamo ariko nkatuma ) - iri tsinda ba Ines badushyizemo ndikundira ko dukomeza guhana ikizere</t>
  </si>
  <si>
    <t>I gained confidence, believed in myself, and returned to school</t>
  </si>
  <si>
    <t>Natangiye kwitinyuka, njya mu matsinda, mbere sinajyaga mu bandi nkavuga n'ibyo natinyaga kuvuga</t>
  </si>
  <si>
    <t>Mbere naritinyaga, ubu njya mubandi nkabagira inama, nigiyemo kubara ukwezi kw'umugore, nagiriye umwana inama washakaga kugwa mu ngeso nk'iyo naguyemo</t>
  </si>
  <si>
    <t>Banyigishije kwihesha agaciro kuburyo ntawamvongera. Ubu nasubiye S3 - Niga GS Curazo.</t>
  </si>
  <si>
    <t>The workshop taught me how to prevent unplanned pregnancy, develop myself and I started by farming carrots and cabbages, I am part of a savings group, with very supportive group members.</t>
  </si>
  <si>
    <t>Yanyigishije kwiteza imbere kandi nkaba naritinyutse ubumbasha kuvugira imbere yabantu</t>
  </si>
  <si>
    <t>Nuko numvaga ndigenyine none narahuguwe Ubu nanjye ndi umuyobozi</t>
  </si>
  <si>
    <t>Namenye uko nakirinda abanshuka, nagiye mu itsinda Tuzamurane,</t>
  </si>
  <si>
    <t>Nabashije kwitinyuka nokwiteza imbere</t>
  </si>
  <si>
    <t>Namenye uko nakwitwara, uko ntarinzi, baduhuguye ko tutagomba kwigunga, tugomba kwitinyuka</t>
  </si>
  <si>
    <t>Mbere sinabashaga kujya mu murima ngo nkore, ngo mbe kibina, ariko ubungubu ndabikora - kandi ubu bimfasha gutangira umusanzu umwana kuko simba murugo</t>
  </si>
  <si>
    <t>Nariyakiriye bitewe nubuzima narindimo</t>
  </si>
  <si>
    <t>Nariyakiriye njyamugashyirahamwe</t>
  </si>
  <si>
    <t>Nabashije kwitinyuka, mbere ntago byanyoroheraga kuko nabyaye ntarashaka - ubu nagiye mu itsinda - ubu ndangura igitoki nkacuruza, nkabasha kubona isabune n'imyenda y'umwana bitangoye cyane</t>
  </si>
  <si>
    <t>Byatumye munya uko nitwara bituma nitinyuka</t>
  </si>
  <si>
    <t>Kwirinda sida, ubu ndabizi, no kwirinda inda zitateganyijwe. Natangiye Ubuhinzi, gushakisha ubuzima mpereye kuri make</t>
  </si>
  <si>
    <t>Yagiye mu insinda</t>
  </si>
  <si>
    <t>Kwitinyuka, numvaga ntabasha kuvuga No. Abantu ibyo bambwira ndabahakanira</t>
  </si>
  <si>
    <t>Nabashije gutinyuka</t>
  </si>
  <si>
    <t>Naritinyutse</t>
  </si>
  <si>
    <t>Navuyemubwigunge</t>
  </si>
  <si>
    <t>Naratinyutse</t>
  </si>
  <si>
    <t>Naratinyutse.   Kd harinibyo narinzi</t>
  </si>
  <si>
    <t>Mbere nasabaga imyenda yanjye n'iy'umwana ariko ndabyibonera. Natangiye gucuruza avoka nongeramo inyanya.</t>
  </si>
  <si>
    <t>Confidence</t>
  </si>
  <si>
    <t>I am now part of a savings group and I was not part of it before</t>
  </si>
  <si>
    <t>I learned how I can prevent another pregnancy</t>
  </si>
  <si>
    <t>Believing that I am capable</t>
  </si>
  <si>
    <t>I learned that I am also a leader</t>
  </si>
  <si>
    <t>Kwikura mubwigunge</t>
  </si>
  <si>
    <t>Kwimva nkumuyobozi</t>
  </si>
  <si>
    <t>Kujya mwitsinda</t>
  </si>
  <si>
    <t>Kwikemurira ikibozo nko kugira ihene</t>
  </si>
  <si>
    <t>I bought myself a domestic animal</t>
  </si>
  <si>
    <t>I am confident</t>
  </si>
  <si>
    <t>Narisobanukiwe</t>
  </si>
  <si>
    <t xml:space="preserve">I learned how to create opportunities </t>
  </si>
  <si>
    <t>Namenye  kuba umuyobozi, no kwigirira icyizere</t>
  </si>
  <si>
    <t>Mba nifitiye ikizere, nanone numva ndumuyobozi</t>
  </si>
  <si>
    <t>Imyitwarire yarahindutse ubu nsigaye nubaha ababyeyi</t>
  </si>
  <si>
    <t>Ubu nagize ubushake bwo gusubira kwishuli, ubu ndikwiga imyuga( ubutayeri)</t>
  </si>
  <si>
    <t>Yatumye menya gukora cyane intego nkayigera, kwigirira icyizere, no kwitwara neza nkirinda ibincuka</t>
  </si>
  <si>
    <t xml:space="preserve">Namenye kwisanisha nabandi ,no kwiyakira , no kumva nshoboye </t>
  </si>
  <si>
    <t>Yatumye menya gutinyuka , kwisanisha nabandi</t>
  </si>
  <si>
    <t>Kwitinyuka, no kwigirira ikizere</t>
  </si>
  <si>
    <t>Yatumye wigirira icyizere, no gushiraho intego</t>
  </si>
  <si>
    <t>Yatumye ninyuka , nigirira ikizere, no gushiraho intego</t>
  </si>
  <si>
    <t>Ubu nasubiye kwishuli ndiga nakibazo S3</t>
  </si>
  <si>
    <t>Ubu nsigaye meze neza kurusha nyuma ntarahugurwa, nsigaye nzi kubaha, no kumva ntari njyenyine</t>
  </si>
  <si>
    <t>Urugero ntago narinzi gukorera amafaranga none narabimenye kubera resonate.</t>
  </si>
  <si>
    <t>Urugero nuko nange nibonye ko ndi umuyobozi.</t>
  </si>
  <si>
    <t>Urugero nuko nigirira ikizere</t>
  </si>
  <si>
    <t>Nuko nifatira umwanzuro.</t>
  </si>
  <si>
    <t>Urugero nuko nakuyemo inama nziza</t>
  </si>
  <si>
    <t>Ugero nuko nitinyuka</t>
  </si>
  <si>
    <t>Nuko namenye kwitinyuka nabyo narinzi</t>
  </si>
  <si>
    <t>Naritinyutse kandi naniteje imbere ubundizigamira</t>
  </si>
  <si>
    <t>I started savings</t>
  </si>
  <si>
    <t>I am able to solve my own problems</t>
  </si>
  <si>
    <t xml:space="preserve">I am more confident when I approach others </t>
  </si>
  <si>
    <t xml:space="preserve">I gained confidence, I even spoke in public
</t>
  </si>
  <si>
    <t>The workshop taught me to be confident</t>
  </si>
  <si>
    <t>Nuko narahugurwa nakizere nagiraga ariko Ubu mbanifitiye icyizere</t>
  </si>
  <si>
    <t>I got a part-time job</t>
  </si>
  <si>
    <t>I believe in myself more and I am now confident</t>
  </si>
  <si>
    <t>I learned how to create a story of self</t>
  </si>
  <si>
    <t>Naratinyutse Ubu mbashakwibariza ikibazo mubuyobozi</t>
  </si>
  <si>
    <t>Nigiriye ikizere</t>
  </si>
  <si>
    <t>Uko umuntu yakwifata</t>
  </si>
  <si>
    <t>Kumenya uko wakwitwara</t>
  </si>
  <si>
    <t>Nahise niga umwuga</t>
  </si>
  <si>
    <t>Nukwitinyuka akajya muri sosiyete</t>
  </si>
  <si>
    <t>Now, I went back to school</t>
  </si>
  <si>
    <t>I bought a pig</t>
  </si>
  <si>
    <t>I am now confident to speak up and will develop myself</t>
  </si>
  <si>
    <t>Naritinyutse nifitiye ikizere, nahoraga ncecetse, hagira nugira icyo ambwira nkamubwira nkamubwira nti ubuzima bwange bwararangiye. Ubu ngira inama abandi kwifata nkabasangiza nibyo mwatwigishije</t>
  </si>
  <si>
    <t>Nize kwitinyika. Mbere sinajyaga aho aabantu bari, ariko ubu ndabineka, nagiye mwitsinda, mba numuyobozi waryo.</t>
  </si>
  <si>
    <t>Numvaga ntamuntu wabyaye wasubura mwishuri, ariko nyuma yamahugurwa nasubuyeyo nifitiye ikizere.</t>
  </si>
  <si>
    <t>Yatumye nigirire ikizere cyejo hazaza, ubu ndigushaka kwiga imyuga yo kudoda nuko mfite umwana muto ntafite aho kumusiga ngo bamwiteho</t>
  </si>
  <si>
    <t>Yatumye nitinyuka gushaka akantu wakora ukiteza imbere. Nahoraga nigunze ntajya aho Anandi bari. Nacuruzaga inyanya kubera mama Yari arwaye</t>
  </si>
  <si>
    <t>Now I am a leader, I am able to save 500 Rwf per week and I started a business of selling bananas</t>
  </si>
  <si>
    <t>I gained confidence, I shared my opinion at a meeting at the hospital</t>
  </si>
  <si>
    <t xml:space="preserve"> Before the workshop, I never felt good enough to be part of others, even talking with them, but now I do</t>
  </si>
  <si>
    <t>Mbere bataradugura</t>
  </si>
  <si>
    <t>It helped me to be confident</t>
  </si>
  <si>
    <t>The workshop helped me to be calm</t>
  </si>
  <si>
    <t xml:space="preserve"> I gained confidence, and felt like a leader.</t>
  </si>
  <si>
    <t>Skipped</t>
  </si>
  <si>
    <t>I gained new knowledge</t>
  </si>
  <si>
    <t>I gained confidence now I work for money</t>
  </si>
  <si>
    <t>I bought a domestic animal</t>
  </si>
  <si>
    <t xml:space="preserve"> I am now confident and I am okay going where there are people, and I am able to talk to them</t>
  </si>
  <si>
    <t>I learned being more careful with myself, and how I use my money because I used to never care about it. I am also part of a savings group that keeps me in check</t>
  </si>
  <si>
    <t>Kuba umuyobozi ku giti cyawe, ntutegereze abandi ko bagufasha, no kwitinyuka. Nta kazi nari mfite, nagiye gusaba akazi mu biruhuko wabashije kwigurira uniform</t>
  </si>
  <si>
    <t>Ukuntu nakwihangira umurimo, nkakora nikorera, ndi mu itsinda, turagurizanya kugirango tuzagure amamashini.</t>
  </si>
  <si>
    <t>Uko biri ntakibazo. Batubwiye ko twahera ku kintu gitoya tukayabyaza umusaruro. Niko nabikoresheje nari mfite ingurube y'icyana kirabyara ubwo irabyara ngurisha izo ngura inka. Kandi mbasha gukuraho ifumbire nkahinga neza.</t>
  </si>
  <si>
    <t xml:space="preserve">Mbere ntarahugurwa numvaga ntakora ngo ngere ku mashini - tukimara guhugurwa batwigishije uko twatwiteza imbere - amafaranga mbonye ndizigama - nkodesha imashini - 450 Rwf per week - 3000 Rwf  per renting a machine  - ingurube nayiguze 20,000 Rwf </t>
  </si>
  <si>
    <t xml:space="preserve">Byatumye nitinyuka, nabashije gupanga ibyo nkora nkumushinga, ubu mpinga imboga, nabashije no kwiga ibyubuyobozi. </t>
  </si>
  <si>
    <t>Nakuyemo ubumenyi ikibazo nigishoro</t>
  </si>
  <si>
    <t>Nabashije gukora nkiteza imbere, mbere nakoraga ntacyo ngamije</t>
  </si>
  <si>
    <t>Mbere nize nta machine mfite, gusa ubu ndayifite ariko nabuze igishoro cyo guterimbere</t>
  </si>
  <si>
    <t>Yatumye ikizere</t>
  </si>
  <si>
    <t>Nahise nihangira umurimo</t>
  </si>
  <si>
    <t>Nuko nabonye imashini nkaba narabashije kujya mwitsinda</t>
  </si>
  <si>
    <t>The workshop taught us how we can develop ourselves by taking small steps every single day, I started by renting a sewing machine and I am on a good way to buy my very own</t>
  </si>
  <si>
    <t>The workshop taught me confidence, to speak in front of others without fear but now I am able to. That derived from the way during the workshop, we were trained to speak with others. From that, I was elected to be the youth leader in our church.</t>
  </si>
  <si>
    <t>Being confident, looking for opportunities and feeling like a leader.I used to think I am not good enough, where would I start? I don't have any money. I had previously quit hairdressing, but I approached a boss who eventually gave me a job in a field of things I had not done before</t>
  </si>
  <si>
    <t>Ubu nigiriye icyizere ntiwareba. Ndakora gusudira bisanzwe - Uwabaza gitifu, ko ubundi duturanye, ntangira kubarura, - sinari kumutinyuka. Byinshi cyane. Nigiyemo gutinyuka, kumva ko umuntu aho ari hose ari umuyobozi, uko umuntu atasesagura, managing imari, uko twakwihangira imirimo n'ibindi byinshi</t>
  </si>
  <si>
    <t xml:space="preserve">Nabashije kwitinyuka </t>
  </si>
  <si>
    <t>nakuyemo ubumenyi bwogukora nizigama, gukora business</t>
  </si>
  <si>
    <t>sigaye nizigama,sigaye nzi kubana nabantu,</t>
  </si>
  <si>
    <t>naratinyutse: namenye uko nakora akazi, gushaka ikindi nakora nacyo kikabyarira inyungu, nyuma yamahugurwa nagize imbaraga zo gushakisha akazi kuko nari narize ndicara</t>
  </si>
  <si>
    <t>nagiye mu itsinda kandi ntaryo nabagamo</t>
  </si>
  <si>
    <t>Bitewe nubuzima nabayemo numvaga ntakizere cyubuzima ariko ubu naratinyutse,ubu nakora umushinga nkakora ubuzima bugahinduka.</t>
  </si>
  <si>
    <t>Kwitinyuka, gukora no kwiteza imbere</t>
  </si>
  <si>
    <t>Nahuriyemo nabandi dukora itsinda tukizigama buri kwezi, tukagurirana itungo, mbere buri wese yariyigunze akamenya ibye gusa.</t>
  </si>
  <si>
    <t xml:space="preserve">Naje mu nahugurwa yw resonate ntazi kwizigama,kwiteza imbere, gukora umurimo, bu ndisanzura, ntakwitinya , ndabaza </t>
  </si>
  <si>
    <t>Yego kuko baradukanguye batwereka ko ushobora gutangirira ku kintu gito ukagera kure</t>
  </si>
  <si>
    <t>Batwigishije kwihangira umurimo kandi ndi kubigeraho, tukajya mu matsinda tukizigama, tugafatanya</t>
  </si>
  <si>
    <t>Namenye uko nabika amafaranga kuva kugiceri, kwizigamira, kwisanzura kuri bagenzi banjye no gushaka akazi.</t>
  </si>
  <si>
    <t xml:space="preserve">Byatumye nitinyuka ndakora amafaranga mbonbe nkagura mo ikawa, inka,... </t>
  </si>
  <si>
    <t>Nabashije kwitinyuka, gukora no kuba umuyobozi kugiti cyanjye, kwikemurira ikibazo</t>
  </si>
  <si>
    <t xml:space="preserve">Nize kwizigamira, Uko nakwiteza imbere mubuhinzi, gusabana nabandi </t>
  </si>
  <si>
    <t>Namenye uko nakwizigamira,Namenye uko naganira nabantu nkumva aho bageze kugirango najye niteze imbere.</t>
  </si>
  <si>
    <t>Yanyigushije ukuntu nakwiteza imbere, nkaja nizigama</t>
  </si>
  <si>
    <t>Nize yuko umntu agomba gukora akizigama, ubu nkaba ndi kubikora kugirango ngure imashine</t>
  </si>
  <si>
    <t>Naritinyaga ntashobora kuvuga muruhame ariko ubu naritinyutse mbasha gusangiza abandi ibitekerezo</t>
  </si>
  <si>
    <t>Nabashije kwitinyuka, nabashije kuvugira muruhame, nabashije kwiga umushinga , nshobora gukora business yanyinjiriza amafaranga</t>
  </si>
  <si>
    <t>Nuko namenyeko nakwiteza imbere</t>
  </si>
  <si>
    <t>Nuko mu mahugurwa nabonyemo kwizigama, nkamenya ko icyambere ari gukoresha neza amafaranga,uko nakwakira aba clients baza bangana, ubu nsigaye nkora mfite intego.</t>
  </si>
  <si>
    <t>Kumenya kwizigama, gufasha umuryango, kumenya guhagarira abandi murugaga rw'abantu benshi, no gufasha abandi</t>
  </si>
  <si>
    <t>Ubu nshobora kwifatira umwanzuro bitewe nibikorwa runaka, ubu nsigaye akarimo kigikoni, twabashije gukura abana imirire mibi, twafashije abandi kwiteza imbere, no kuba wajya mubandi ukitinyuka ukifatira umwanzuro.</t>
  </si>
  <si>
    <t>Nabashije kwiteza imbere nkameya gucunga imari yanjye.</t>
  </si>
  <si>
    <t>Nsigaye ngira intego, no kuyigeraho.</t>
  </si>
  <si>
    <t>Nagiye mpindura bagenzi banjye mbahugura kandi mbabera nurugero rwiza.</t>
  </si>
  <si>
    <t>Nuko nsigaye nigirira ikizere, kandi mubyo nkora byose nkumva ko natera imbere.</t>
  </si>
  <si>
    <t>Nibumbiye nabandi tubasha  gushaka akazi nka cooperative.</t>
  </si>
  <si>
    <t>Niteje imbere uko bishoboka, nafunguye agataro karinganiye.</t>
  </si>
  <si>
    <t>Nahise menya icyo gukora, ubu ndahinga ntakibazo, muri make namenye kwiteza imbere.</t>
  </si>
  <si>
    <t>Kwigirira ikizere utarebeye kugihagararo  cyumuntu wamwegera ukamusaba akazi.</t>
  </si>
  <si>
    <t>Wabashije kwigirira ikizere no kwitinyuka</t>
  </si>
  <si>
    <t>Namenye kuzigama, kwitinyuka no gukorera muma cooperative</t>
  </si>
  <si>
    <t>Ubu aho narindi narahavuye ngera murundi rwego.</t>
  </si>
  <si>
    <t>Ubu dusigaye twaritinyutse, mbere nakoreraga murugo ariko nabashije gusaba akazi muri salon</t>
  </si>
  <si>
    <t>Batwigishije kuba twareka gupfusha ubusa amafaranga</t>
  </si>
  <si>
    <t>Mbere nibazaga ukuntu nashinga salon yanjye,  nabashije kwitinyuka negera undi warufite salon yogosha najye ntangira gusuka</t>
  </si>
  <si>
    <t>Twize kwishakamo ubushobozi no kwiteza imbere, nakoze umushinga wo korora inkwavu</t>
  </si>
  <si>
    <t>Byanshishikarije kuba nakora ubu niguriye imashini idoda.</t>
  </si>
  <si>
    <t>Nageze murugo narimfite 5000, ndangura voka nsigaye ncuruza kugasoko. Ubu niteje imbere mbasha kwigurira amavuta nibindi.</t>
  </si>
  <si>
    <t>Sinarinziko umuntu ari umuyobozi akaba agomba kuyobora abandi.</t>
  </si>
  <si>
    <t>Batwigishije kwitinyuka igihe uri mubandi no kubasha gusobanura ikintu mubandi nta soni ufite.</t>
  </si>
  <si>
    <t>Kuba nakwitinyura nkiteza imbere, mbere nibazaga ukuntu natangira nkoresha imashini yabandi ariko ubu nabashije gutinyuka</t>
  </si>
  <si>
    <t>Natangiye gutekereza uburyo nshobora kwikorera akabusiness gato kabasha kumpa amafaranga</t>
  </si>
  <si>
    <t>Hari isomo twize ryo kuba najye naba umuyobozi. Kuko najye byashoboka ko naba umuyobozi,  mbere naratinyaga cyane  ariko ubu naratinyutse igihe cyose wampamagara naba niteguye kuvuga muruhame ntasoni mfite.</t>
  </si>
  <si>
    <t>Nshingiye kubyo mwatwigishije hari utuntu duto nkora kugirango mbone ayo gutanga mwizitsinda hanyuma nzagure ibikoresho nkeneye</t>
  </si>
  <si>
    <t>Nabashije kujya mumatsinda, ubu nkorera muri ateriye, naguze inkoko.</t>
  </si>
  <si>
    <t>Nize kurushaho kwizigama no gutanga mwitsinda</t>
  </si>
  <si>
    <t>Ntago nkitinya nsigaye mbasha gukora ibintu ntakwitinya</t>
  </si>
  <si>
    <t>Haribyinshi byahindutse, nko mumikorere nkubu nkoresha imashini yabandi nyikodesheje ariko mfite gahunda yo kugura iyanjye m</t>
  </si>
  <si>
    <t>Byatumye nitinyuka.</t>
  </si>
  <si>
    <t>Nuko nabashije guhaguruka nkashaka akazika</t>
  </si>
  <si>
    <t>Nuko nitinyaga ariko ubu nsigaye nsabana nabandi. Umuntu aba yarize imyuga wenda bikanga, ariko ntibyambuza gukora indi mirimo kugira niteze imbere. Nacuruje avoka, nkuramo ihene ikaba yaranabyaye.</t>
  </si>
  <si>
    <t>Byamfashije kujya mbona udufaranga Duke Duke kuburyo nyuma y'igihe najye nabasha kugura imashini yanjye</t>
  </si>
  <si>
    <t>Mbere naritinyaga ntakizere nigirira, ariko ubu narashabutse nsigaye naritinyutse.</t>
  </si>
  <si>
    <t>Kwikigirira ikizere cy'uko wabona akazi udatinye ngo hano sinahakora.</t>
  </si>
  <si>
    <t>Byamfashije kuba nakwitinyuka nkakora kandi nkakora nkiteza imbere n'umwana wanjye. Nyuma y'amahugurwa nasubiye kwiga kudoda - ntago nari narabimenye neza - Scovia yaravuze ati nta mpamvu yo kwicara nanjye mfatiraho.</t>
  </si>
  <si>
    <t>Nari mpagariye itsinda, nta kintu bimbwiye - ku izina gusa. Baduhuguye ntwite maze kubyara ndavuga nti reka mpere kuri duke, umugabo anyongerera 20,000 Rwf - ngura imisatsi ubu nsukira abantu mu rugo. Mu buyobozi narahagurutse - ubu ndi more proactive. Leta yaduhaye miliyoni 5 bati tugabane, ndanga  ubu naguze ibikoresho bibitse kuri Maison, ndi gushaka inzu</t>
  </si>
  <si>
    <t>Mbere nabaga nihugiyeho, kuba narabyaye bikambangamira - sinashaka guhura n'abandi - ariko nagiye mu itsinda - I save almost 5,000 Rwf per month</t>
  </si>
  <si>
    <t>Amahugurwa yamfashije kwitinyuka, nkadoda imyenda nkajyana mu isoko, nkabona ibikoresho byo mu ishuri by'umwana n'ibindi bibazo byanjye</t>
  </si>
  <si>
    <t>Yatumye menya imbaraga nifitemo, bituma nkunda akazi kanjye - ntago nabikundaga kudoda</t>
  </si>
  <si>
    <t>Mbere numvaga nta kintu kinshishikaje, navuye mu mahugurwa njya gushaka amasoko, ubu mfite atatu. Mbere babigenzaga gake, ariko ubu babyitayeho</t>
  </si>
  <si>
    <t>Numvaga ndi umuntu uri hasi, kubera ko nari maze kubyara - ubu itsinda ryacu turadoda tumeze neza. Namenye agaciro kanjye - niha intego</t>
  </si>
  <si>
    <t>Imbere sinari mpasobanukiwe, ubu twamenye uko tugomba gukora, n'inzira twacamo - nyuma y'amahugurwa, I took Ubudozi seriously mbere sinari nisobanukiwe ariko ubu mfite intego rwose</t>
  </si>
  <si>
    <t>Byatumye nitinyuka, kuvugira muruhame, kuvugisha umuyobozi, nkafunguka mu mutwe - mbere sinari buboshobore. Ubu n'inama naziyobora</t>
  </si>
  <si>
    <t>Nabashije kwitinyuka, mpita numva ko najya mu bandi, ubu njya imbere y'abantu - muri quartier nigisha urubyiruko ku bijyanye n'ubuzima bw'imyororokere - Njyewe na bagenzi banjye batatu - kuko Scovia yatubwiye ko ari ukuberako tugafite information</t>
  </si>
  <si>
    <t>Igiti cy'ubuzima byatumye mbasha gushyiraho intego - Kora Wikorera yanyigisha gucunga imari - ubundi nshaka gushinga atelier yanjye. Ubu ndasavinga ngejeje 50,000 Rwf</t>
  </si>
  <si>
    <t>Kumenya kuzigama, kumenya uko nakorera amafaranga, nkabasha kwifasha ndetse n'umwana wanjye kandi sinsabiriza</t>
  </si>
  <si>
    <t>Naritinyutse nkajya ahantu bakampa akazi nkagakora neza. Kugenzura business zanjye uko zagenda neza, gusaba serivisi mu bayobozi</t>
  </si>
  <si>
    <t>Sinajyaga mu bandi ngo mvuge ariko ubu ndavuga, twari mu nama, mbasha kuvuga ikibazo cyanjye. Naguzemo agahene ku mafaranga 25,000 Rwf nizigamye</t>
  </si>
  <si>
    <t>nsanzwe nzi kudoda, sinajyaga njya gushaka akazi, ariko nize seeking out opportunities, njya gushakisha mbona ikigo cyo gu supplyinga uniforms ariko nabuze ubushobozi</t>
  </si>
  <si>
    <t>nukuberako nahise niga</t>
  </si>
  <si>
    <t>yanyigishije kwigirira ikizere nkatinyuka nkakora</t>
  </si>
  <si>
    <t>kwiteza imbere</t>
  </si>
  <si>
    <t>gutinyuka</t>
  </si>
  <si>
    <t>nuko bampuguye uko narimeze siko meze</t>
  </si>
  <si>
    <t>namenye gutinyuka</t>
  </si>
  <si>
    <t>yanyjyishije kwitinyuka</t>
  </si>
  <si>
    <t>nuko batwigishije gutinyuka</t>
  </si>
  <si>
    <t>nuko nahise nitunuka</t>
  </si>
  <si>
    <t>nuko nahise niga imyuga</t>
  </si>
  <si>
    <t>nuko natinyuka nkako</t>
  </si>
  <si>
    <t>batwigishije kwihagira umurimo</t>
  </si>
  <si>
    <t>Njyewe nabaga murugo, ntamwuga numwe narimfite, narinaragwrageje kudoda ariko ntarabihaye agaciro, nkimara guhugurwa nagize imbaraga zinsubiza kwihugura mubudozi, ndetse nongeraho kwiga kudoda inkweto , iyo mbonye ibiraka ntira imashini bagenzi banjye  nkadoda kandi nkagurisha imyenda,  
numvaga gukorera amafaranga bubyizi biteye isoni ariko bu naratinyutse kandi birantunze, nsigaye narakuye amaboko mu mufuka ngakora , ngahinga ibishyimbo, nkabasha kwiyishurira ishuri ndetse nkanatunga numwana wanjye, no kugira ngo nzagere ku ntego nihaye yo kugura imashini yanjye bwite.</t>
  </si>
  <si>
    <t xml:space="preserve">Impinduka nagize , mbere maze kubyara numvaga nitinye, ntisanzuye ariko nyuma nagiye gukorana nabandi, ubu ndi mu itsinda kandi ndifitiye umumaro. ubu naritinyutse </t>
  </si>
  <si>
    <t>Kubona udufaranga, ukarangura ugacuruza</t>
  </si>
  <si>
    <t>kubera ibibazo nagize byo mu mutwe narinarihebye , narihaye akato , ntabasha kuvuga mubandi, numva icyo nshaka ari ugupfa nyuma yamahugurwa nariyakiriye</t>
  </si>
  <si>
    <t>yankuye mu bwigunge, ndatinyuka njya mubandi, nganira nabagenzi banjye</t>
  </si>
  <si>
    <t>amahugurwa yatumye ntinyuka, nkamyenya kujya aho abandi bari</t>
  </si>
  <si>
    <t xml:space="preserve">Amahugurwa yaramfashije kuko ahantu dukorera twishyize mu matsinda, nanjye ubu niguriye itungo ryo kunteza imbere, kugiti cyanjye naratinyutse </t>
  </si>
  <si>
    <t>Nkimara kubyara kwiyakira byarananiye, mpuye nabagenzi banjye ndiyakira tubifashijwemo namahugurwa, inyoni yumununi mubibazo yashatse igisubizo nanjye mfatiraho, ubu ngiranabandi inama nabo bakiyakira</t>
  </si>
  <si>
    <t xml:space="preserve">Nicaraga murugo ntakazi mfite, nagize umugisha wo kwiga no guhugurwa mbasha kuzamuka no kwiteza imbere nkabandi kandi ndikubigeraho </t>
  </si>
  <si>
    <t>Naritinyutse kubwo guhura nabandi tukamenyana ubwoba bwarashize</t>
  </si>
  <si>
    <t>Nakuyemo kwitinyuka, kuvugira imbere yabantu mbasha kuvuga akazi kanjye ko gucuruza , nkajya gushaka imari , nkabasha kwishyurira umwana wanjye ishuri</t>
  </si>
  <si>
    <t>Nabashije kwiga gukora wikorera, kwizigama, nabaga murugo ntakintu nkora ariko ubu natangiye kwizigama, bituma ntaheranwa nibibazo</t>
  </si>
  <si>
    <t>Yamfashije gutinyuka, mbasha kujya kwiga kudoda, mbasha kujya kubaza ikibazo cyose nkanakomanga nsaba akazi kubwiterambere yanjye</t>
  </si>
  <si>
    <t>Nabshije kujya mu kibina, mbasha kwizigama</t>
  </si>
  <si>
    <t>Yamfashije kwitinyuka, njya gusaba akazi nko muuhinzi cyangwa se ikiyedi, nabashije kwegera bagenzi banjye banganiriza ibyo kujya mu kibina  kandi nsigaye numva nshoboye.</t>
  </si>
  <si>
    <t>Nakuyemo kwigirira icyizere ndatinyuka ,numva ko mu muryango mugari naba umuyobozi,</t>
  </si>
  <si>
    <t>Ntaraza nabaga nitinya , nyuma yamahugurwa naritinyutse ubu nanjye haricyo nakora</t>
  </si>
  <si>
    <t>naritinyutse menya imbaranganifitemo</t>
  </si>
  <si>
    <t>nukonabashije kumenyakwiha intengo</t>
  </si>
  <si>
    <t>yatumyenitinyukakuburyonavungiramuruhame</t>
  </si>
  <si>
    <t>nukonamenye uburyonakiteza imbere</t>
  </si>
  <si>
    <t>namenye kwiteza imbere</t>
  </si>
  <si>
    <t>ubupfite icyonkora</t>
  </si>
  <si>
    <t>ubuniteje imbere</t>
  </si>
  <si>
    <t>naritinyutse</t>
  </si>
  <si>
    <t>kukoharibyishi namenye byatumye niteza imbere</t>
  </si>
  <si>
    <t>naratinyutse</t>
  </si>
  <si>
    <t>ubunaritinyutse</t>
  </si>
  <si>
    <t>nabashije kurya mwitsinda</t>
  </si>
  <si>
    <t>Naritinyag siniyumvemo ko ndumuyobozi</t>
  </si>
  <si>
    <t>Ndigutera ontambwe ngera kuntego</t>
  </si>
  <si>
    <t>Kwitinyuka nkavugira muruhame</t>
  </si>
  <si>
    <t>Naritinyuye</t>
  </si>
  <si>
    <t>Namenye gukorera hamwe</t>
  </si>
  <si>
    <t>Byatumye nitinyuka</t>
  </si>
  <si>
    <t>Nungukiyemo ubumenyi</t>
  </si>
  <si>
    <t>Ntabwo nigiraga ikizere arko ubumbanumva nigiriye ikozere</t>
  </si>
  <si>
    <t>I gained confidence and I am now part of a savings group</t>
  </si>
  <si>
    <t xml:space="preserve">I gained confidence, I believe in myself more and I bougt a goat( business)
</t>
  </si>
  <si>
    <t>What I was doing, I also added sewing ( business) and I have a goal to become an animal farmer</t>
  </si>
  <si>
    <t>The workshop increased my confidence and I started to work. I have a business. I sew and sell. I also have a leadership role in our savings group as a secretary</t>
  </si>
  <si>
    <t>I regained my confidence back and my dream is to have an atelier</t>
  </si>
  <si>
    <t>I am working hard to develop myself. I now have goals and my goal is to buy a plot of land that will support my agriculture. The learnings helped me really understand my goals, and I am more focused which helped me to do my agriculture and also do it for profits</t>
  </si>
  <si>
    <t>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</si>
</sst>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20"/>
      <color rgb="FFFF0000"/>
      <name val="Calibri"/>
      <family val="2"/>
    </font>
    <font>
      <b/>
      <sz val="20"/>
      <color theme="1"/>
      <name val="Arial"/>
      <family val="2"/>
    </font>
    <font>
      <sz val="24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222222"/>
      <name val="Helvetica Neue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FF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6600"/>
      <name val="Calibri"/>
      <family val="2"/>
    </font>
    <font>
      <sz val="11"/>
      <color rgb="FFFF6600"/>
      <name val="Calibri"/>
      <family val="2"/>
    </font>
    <font>
      <sz val="11"/>
      <color rgb="FFFF66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Verdana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b/>
      <sz val="11"/>
      <color indexed="206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Serifa Std 45 Light"/>
      <family val="1"/>
    </font>
    <font>
      <b/>
      <sz val="12"/>
      <color rgb="FFFF6600"/>
      <name val="Serifa Std 45 Light"/>
      <family val="1"/>
    </font>
    <font>
      <b/>
      <sz val="12"/>
      <color rgb="FFFF0000"/>
      <name val="Serifa Std 45 Light"/>
      <family val="1"/>
    </font>
    <font>
      <sz val="12"/>
      <color theme="1"/>
      <name val="Serifa Std 45 Light"/>
      <family val="1"/>
    </font>
    <font>
      <b/>
      <sz val="18"/>
      <color theme="1"/>
      <name val="Arial"/>
      <family val="2"/>
    </font>
    <font>
      <b/>
      <i/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Times New Roman"/>
      <family val="1"/>
    </font>
    <font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E36C09"/>
        <bgColor rgb="FFE36C09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82">
    <xf numFmtId="0" fontId="0" fillId="0" borderId="0"/>
    <xf numFmtId="9" fontId="1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5"/>
    <xf numFmtId="164" fontId="25" fillId="0" borderId="5" applyFont="0" applyFill="0" applyBorder="0" applyAlignment="0" applyProtection="0"/>
    <xf numFmtId="9" fontId="32" fillId="0" borderId="5" applyFont="0" applyFill="0" applyBorder="0" applyAlignment="0" applyProtection="0"/>
    <xf numFmtId="0" fontId="32" fillId="0" borderId="5"/>
    <xf numFmtId="0" fontId="11" fillId="0" borderId="5"/>
    <xf numFmtId="9" fontId="11" fillId="0" borderId="5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1" fillId="0" borderId="43" applyNumberFormat="0" applyFill="0" applyAlignment="0" applyProtection="0"/>
    <xf numFmtId="0" fontId="52" fillId="0" borderId="44" applyNumberFormat="0" applyFill="0" applyAlignment="0" applyProtection="0"/>
    <xf numFmtId="0" fontId="53" fillId="0" borderId="45" applyNumberFormat="0" applyFill="0" applyAlignment="0" applyProtection="0"/>
    <xf numFmtId="0" fontId="57" fillId="27" borderId="46" applyNumberFormat="0" applyAlignment="0" applyProtection="0"/>
    <xf numFmtId="0" fontId="58" fillId="28" borderId="47" applyNumberFormat="0" applyAlignment="0" applyProtection="0"/>
    <xf numFmtId="0" fontId="59" fillId="28" borderId="46" applyNumberFormat="0" applyAlignment="0" applyProtection="0"/>
    <xf numFmtId="0" fontId="60" fillId="0" borderId="48" applyNumberFormat="0" applyFill="0" applyAlignment="0" applyProtection="0"/>
    <xf numFmtId="0" fontId="61" fillId="29" borderId="49" applyNumberFormat="0" applyAlignment="0" applyProtection="0"/>
    <xf numFmtId="0" fontId="27" fillId="0" borderId="51" applyNumberFormat="0" applyFill="0" applyAlignment="0" applyProtection="0"/>
    <xf numFmtId="0" fontId="1" fillId="0" borderId="5"/>
    <xf numFmtId="0" fontId="50" fillId="0" borderId="5" applyNumberFormat="0" applyFill="0" applyBorder="0" applyAlignment="0" applyProtection="0"/>
    <xf numFmtId="0" fontId="53" fillId="0" borderId="5" applyNumberFormat="0" applyFill="0" applyBorder="0" applyAlignment="0" applyProtection="0"/>
    <xf numFmtId="0" fontId="54" fillId="24" borderId="5" applyNumberFormat="0" applyBorder="0" applyAlignment="0" applyProtection="0"/>
    <xf numFmtId="0" fontId="55" fillId="25" borderId="5" applyNumberFormat="0" applyBorder="0" applyAlignment="0" applyProtection="0"/>
    <xf numFmtId="0" fontId="56" fillId="26" borderId="5" applyNumberFormat="0" applyBorder="0" applyAlignment="0" applyProtection="0"/>
    <xf numFmtId="0" fontId="30" fillId="0" borderId="5" applyNumberFormat="0" applyFill="0" applyBorder="0" applyAlignment="0" applyProtection="0"/>
    <xf numFmtId="0" fontId="1" fillId="30" borderId="50" applyNumberFormat="0" applyFont="0" applyAlignment="0" applyProtection="0"/>
    <xf numFmtId="0" fontId="62" fillId="0" borderId="5" applyNumberFormat="0" applyFill="0" applyBorder="0" applyAlignment="0" applyProtection="0"/>
    <xf numFmtId="0" fontId="63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33" borderId="5" applyNumberFormat="0" applyBorder="0" applyAlignment="0" applyProtection="0"/>
    <xf numFmtId="0" fontId="1" fillId="34" borderId="5" applyNumberFormat="0" applyBorder="0" applyAlignment="0" applyProtection="0"/>
    <xf numFmtId="0" fontId="63" fillId="35" borderId="5" applyNumberFormat="0" applyBorder="0" applyAlignment="0" applyProtection="0"/>
    <xf numFmtId="0" fontId="1" fillId="36" borderId="5" applyNumberFormat="0" applyBorder="0" applyAlignment="0" applyProtection="0"/>
    <xf numFmtId="0" fontId="1" fillId="37" borderId="5" applyNumberFormat="0" applyBorder="0" applyAlignment="0" applyProtection="0"/>
    <xf numFmtId="0" fontId="1" fillId="38" borderId="5" applyNumberFormat="0" applyBorder="0" applyAlignment="0" applyProtection="0"/>
    <xf numFmtId="0" fontId="63" fillId="39" borderId="5" applyNumberFormat="0" applyBorder="0" applyAlignment="0" applyProtection="0"/>
    <xf numFmtId="0" fontId="1" fillId="40" borderId="5" applyNumberFormat="0" applyBorder="0" applyAlignment="0" applyProtection="0"/>
    <xf numFmtId="0" fontId="1" fillId="41" borderId="5" applyNumberFormat="0" applyBorder="0" applyAlignment="0" applyProtection="0"/>
    <xf numFmtId="0" fontId="1" fillId="42" borderId="5" applyNumberFormat="0" applyBorder="0" applyAlignment="0" applyProtection="0"/>
    <xf numFmtId="0" fontId="63" fillId="43" borderId="5" applyNumberFormat="0" applyBorder="0" applyAlignment="0" applyProtection="0"/>
    <xf numFmtId="0" fontId="1" fillId="44" borderId="5" applyNumberFormat="0" applyBorder="0" applyAlignment="0" applyProtection="0"/>
    <xf numFmtId="0" fontId="1" fillId="45" borderId="5" applyNumberFormat="0" applyBorder="0" applyAlignment="0" applyProtection="0"/>
    <xf numFmtId="0" fontId="1" fillId="46" borderId="5" applyNumberFormat="0" applyBorder="0" applyAlignment="0" applyProtection="0"/>
    <xf numFmtId="0" fontId="63" fillId="47" borderId="5" applyNumberFormat="0" applyBorder="0" applyAlignment="0" applyProtection="0"/>
    <xf numFmtId="0" fontId="1" fillId="48" borderId="5" applyNumberFormat="0" applyBorder="0" applyAlignment="0" applyProtection="0"/>
    <xf numFmtId="0" fontId="1" fillId="49" borderId="5" applyNumberFormat="0" applyBorder="0" applyAlignment="0" applyProtection="0"/>
    <xf numFmtId="0" fontId="1" fillId="50" borderId="5" applyNumberFormat="0" applyBorder="0" applyAlignment="0" applyProtection="0"/>
    <xf numFmtId="0" fontId="63" fillId="51" borderId="5" applyNumberFormat="0" applyBorder="0" applyAlignment="0" applyProtection="0"/>
    <xf numFmtId="0" fontId="1" fillId="52" borderId="5" applyNumberFormat="0" applyBorder="0" applyAlignment="0" applyProtection="0"/>
    <xf numFmtId="0" fontId="1" fillId="53" borderId="5" applyNumberFormat="0" applyBorder="0" applyAlignment="0" applyProtection="0"/>
    <xf numFmtId="0" fontId="1" fillId="54" borderId="5" applyNumberFormat="0" applyBorder="0" applyAlignment="0" applyProtection="0"/>
  </cellStyleXfs>
  <cellXfs count="6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" borderId="1" xfId="0" applyFont="1" applyFill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18" fillId="0" borderId="0" xfId="0" applyFont="1"/>
    <xf numFmtId="0" fontId="3" fillId="0" borderId="0" xfId="0" applyFont="1" applyAlignment="1">
      <alignment wrapText="1"/>
    </xf>
    <xf numFmtId="0" fontId="8" fillId="0" borderId="10" xfId="0" applyFont="1" applyBorder="1"/>
    <xf numFmtId="0" fontId="8" fillId="0" borderId="12" xfId="0" applyFont="1" applyBorder="1"/>
    <xf numFmtId="0" fontId="8" fillId="0" borderId="6" xfId="0" applyFont="1" applyBorder="1"/>
    <xf numFmtId="0" fontId="8" fillId="0" borderId="15" xfId="0" applyFont="1" applyBorder="1"/>
    <xf numFmtId="1" fontId="8" fillId="0" borderId="10" xfId="0" applyNumberFormat="1" applyFont="1" applyBorder="1"/>
    <xf numFmtId="1" fontId="3" fillId="0" borderId="10" xfId="0" applyNumberFormat="1" applyFont="1" applyBorder="1"/>
    <xf numFmtId="9" fontId="8" fillId="0" borderId="12" xfId="0" applyNumberFormat="1" applyFont="1" applyBorder="1" applyAlignment="1">
      <alignment horizontal="center" vertical="center"/>
    </xf>
    <xf numFmtId="9" fontId="8" fillId="0" borderId="12" xfId="0" applyNumberFormat="1" applyFont="1" applyBorder="1"/>
    <xf numFmtId="0" fontId="8" fillId="0" borderId="8" xfId="0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8" fillId="0" borderId="8" xfId="0" applyFont="1" applyBorder="1"/>
    <xf numFmtId="9" fontId="8" fillId="0" borderId="16" xfId="0" applyNumberFormat="1" applyFont="1" applyBorder="1"/>
    <xf numFmtId="1" fontId="8" fillId="0" borderId="8" xfId="0" applyNumberFormat="1" applyFont="1" applyBorder="1"/>
    <xf numFmtId="9" fontId="8" fillId="0" borderId="0" xfId="0" applyNumberFormat="1" applyFont="1" applyAlignment="1">
      <alignment horizontal="left"/>
    </xf>
    <xf numFmtId="9" fontId="8" fillId="0" borderId="0" xfId="0" applyNumberFormat="1" applyFont="1"/>
    <xf numFmtId="9" fontId="8" fillId="0" borderId="15" xfId="0" applyNumberFormat="1" applyFont="1" applyBorder="1" applyAlignment="1">
      <alignment horizontal="left"/>
    </xf>
    <xf numFmtId="9" fontId="8" fillId="0" borderId="15" xfId="0" applyNumberFormat="1" applyFont="1" applyBorder="1"/>
    <xf numFmtId="1" fontId="8" fillId="0" borderId="7" xfId="0" applyNumberFormat="1" applyFont="1" applyBorder="1"/>
    <xf numFmtId="0" fontId="8" fillId="0" borderId="7" xfId="0" applyFont="1" applyBorder="1"/>
    <xf numFmtId="1" fontId="8" fillId="0" borderId="10" xfId="0" applyNumberFormat="1" applyFont="1" applyBorder="1" applyAlignment="1">
      <alignment horizontal="center" vertical="center"/>
    </xf>
    <xf numFmtId="9" fontId="8" fillId="8" borderId="11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1" fontId="8" fillId="0" borderId="0" xfId="0" applyNumberFormat="1" applyFont="1"/>
    <xf numFmtId="2" fontId="8" fillId="0" borderId="0" xfId="0" applyNumberFormat="1" applyFont="1"/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1" fontId="8" fillId="0" borderId="9" xfId="0" applyNumberFormat="1" applyFont="1" applyBorder="1"/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2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20" xfId="0" applyBorder="1"/>
    <xf numFmtId="0" fontId="21" fillId="0" borderId="0" xfId="0" applyFont="1"/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/>
    <xf numFmtId="0" fontId="20" fillId="11" borderId="1" xfId="0" applyFont="1" applyFill="1" applyBorder="1"/>
    <xf numFmtId="0" fontId="8" fillId="2" borderId="5" xfId="0" applyFont="1" applyFill="1" applyBorder="1"/>
    <xf numFmtId="0" fontId="8" fillId="11" borderId="1" xfId="0" applyFont="1" applyFill="1" applyBorder="1"/>
    <xf numFmtId="0" fontId="3" fillId="11" borderId="5" xfId="0" applyFont="1" applyFill="1" applyBorder="1" applyAlignment="1">
      <alignment wrapText="1"/>
    </xf>
    <xf numFmtId="0" fontId="12" fillId="11" borderId="5" xfId="0" applyFont="1" applyFill="1" applyBorder="1"/>
    <xf numFmtId="0" fontId="14" fillId="11" borderId="5" xfId="0" applyFont="1" applyFill="1" applyBorder="1" applyAlignment="1">
      <alignment vertical="top" wrapText="1"/>
    </xf>
    <xf numFmtId="0" fontId="0" fillId="11" borderId="0" xfId="0" applyFill="1" applyAlignment="1">
      <alignment vertical="top"/>
    </xf>
    <xf numFmtId="0" fontId="0" fillId="11" borderId="5" xfId="0" applyFill="1" applyBorder="1"/>
    <xf numFmtId="0" fontId="13" fillId="11" borderId="1" xfId="0" applyFont="1" applyFill="1" applyBorder="1" applyAlignment="1">
      <alignment vertical="top" wrapText="1"/>
    </xf>
    <xf numFmtId="0" fontId="13" fillId="11" borderId="5" xfId="0" applyFont="1" applyFill="1" applyBorder="1" applyAlignment="1">
      <alignment vertical="top" wrapText="1"/>
    </xf>
    <xf numFmtId="9" fontId="0" fillId="0" borderId="20" xfId="1" applyFont="1" applyBorder="1" applyAlignment="1"/>
    <xf numFmtId="9" fontId="0" fillId="0" borderId="0" xfId="1" applyFont="1" applyAlignment="1"/>
    <xf numFmtId="9" fontId="8" fillId="0" borderId="0" xfId="1" applyFont="1"/>
    <xf numFmtId="0" fontId="8" fillId="2" borderId="5" xfId="0" applyFont="1" applyFill="1" applyBorder="1" applyAlignment="1">
      <alignment horizontal="center" vertical="center"/>
    </xf>
    <xf numFmtId="0" fontId="26" fillId="0" borderId="5" xfId="44" applyFont="1" applyAlignment="1">
      <alignment horizontal="center"/>
    </xf>
    <xf numFmtId="0" fontId="11" fillId="0" borderId="5" xfId="48"/>
    <xf numFmtId="0" fontId="11" fillId="0" borderId="20" xfId="48" applyBorder="1"/>
    <xf numFmtId="0" fontId="4" fillId="0" borderId="5" xfId="48" applyFont="1" applyAlignment="1">
      <alignment horizontal="center" vertical="center"/>
    </xf>
    <xf numFmtId="0" fontId="4" fillId="2" borderId="5" xfId="48" applyFont="1" applyFill="1"/>
    <xf numFmtId="0" fontId="20" fillId="11" borderId="5" xfId="48" applyFont="1" applyFill="1"/>
    <xf numFmtId="0" fontId="4" fillId="11" borderId="5" xfId="48" applyFont="1" applyFill="1"/>
    <xf numFmtId="0" fontId="20" fillId="11" borderId="5" xfId="48" applyFont="1" applyFill="1" applyAlignment="1">
      <alignment wrapText="1"/>
    </xf>
    <xf numFmtId="0" fontId="3" fillId="11" borderId="5" xfId="48" applyFont="1" applyFill="1" applyAlignment="1">
      <alignment wrapText="1"/>
    </xf>
    <xf numFmtId="0" fontId="12" fillId="11" borderId="5" xfId="48" applyFont="1" applyFill="1"/>
    <xf numFmtId="0" fontId="14" fillId="11" borderId="5" xfId="48" applyFont="1" applyFill="1" applyAlignment="1">
      <alignment vertical="top" wrapText="1"/>
    </xf>
    <xf numFmtId="0" fontId="3" fillId="9" borderId="5" xfId="48" applyFont="1" applyFill="1" applyAlignment="1">
      <alignment horizontal="left"/>
    </xf>
    <xf numFmtId="0" fontId="11" fillId="11" borderId="5" xfId="48" applyFill="1" applyAlignment="1">
      <alignment vertical="top"/>
    </xf>
    <xf numFmtId="0" fontId="11" fillId="11" borderId="5" xfId="48" applyFill="1"/>
    <xf numFmtId="0" fontId="20" fillId="0" borderId="5" xfId="48" applyFont="1"/>
    <xf numFmtId="0" fontId="3" fillId="11" borderId="5" xfId="48" applyFont="1" applyFill="1"/>
    <xf numFmtId="0" fontId="13" fillId="11" borderId="5" xfId="48" applyFont="1" applyFill="1" applyAlignment="1">
      <alignment vertical="top" wrapText="1"/>
    </xf>
    <xf numFmtId="0" fontId="4" fillId="0" borderId="5" xfId="48" applyFont="1"/>
    <xf numFmtId="0" fontId="4" fillId="0" borderId="5" xfId="48" applyFont="1" applyAlignment="1">
      <alignment vertical="top" wrapText="1"/>
    </xf>
    <xf numFmtId="0" fontId="20" fillId="0" borderId="5" xfId="48" applyFont="1" applyAlignment="1">
      <alignment wrapText="1"/>
    </xf>
    <xf numFmtId="0" fontId="17" fillId="0" borderId="5" xfId="48" applyFont="1"/>
    <xf numFmtId="0" fontId="4" fillId="0" borderId="5" xfId="48" applyFont="1" applyAlignment="1">
      <alignment vertical="center" wrapText="1"/>
    </xf>
    <xf numFmtId="0" fontId="2" fillId="0" borderId="5" xfId="48" applyFont="1" applyAlignment="1">
      <alignment horizontal="center"/>
    </xf>
    <xf numFmtId="0" fontId="18" fillId="0" borderId="5" xfId="48" applyFont="1"/>
    <xf numFmtId="0" fontId="3" fillId="0" borderId="5" xfId="48" applyFont="1" applyAlignment="1">
      <alignment wrapText="1"/>
    </xf>
    <xf numFmtId="0" fontId="4" fillId="0" borderId="10" xfId="48" applyFont="1" applyBorder="1"/>
    <xf numFmtId="0" fontId="4" fillId="0" borderId="12" xfId="48" applyFont="1" applyBorder="1"/>
    <xf numFmtId="0" fontId="4" fillId="0" borderId="6" xfId="48" applyFont="1" applyBorder="1"/>
    <xf numFmtId="0" fontId="4" fillId="0" borderId="15" xfId="48" applyFont="1" applyBorder="1"/>
    <xf numFmtId="1" fontId="4" fillId="0" borderId="10" xfId="48" applyNumberFormat="1" applyFont="1" applyBorder="1"/>
    <xf numFmtId="1" fontId="3" fillId="0" borderId="10" xfId="48" applyNumberFormat="1" applyFont="1" applyBorder="1"/>
    <xf numFmtId="0" fontId="4" fillId="0" borderId="10" xfId="48" applyFont="1" applyBorder="1" applyAlignment="1">
      <alignment horizontal="center" vertical="center"/>
    </xf>
    <xf numFmtId="9" fontId="4" fillId="0" borderId="12" xfId="48" applyNumberFormat="1" applyFont="1" applyBorder="1" applyAlignment="1">
      <alignment horizontal="center" vertical="center"/>
    </xf>
    <xf numFmtId="9" fontId="4" fillId="0" borderId="12" xfId="48" applyNumberFormat="1" applyFont="1" applyBorder="1"/>
    <xf numFmtId="0" fontId="4" fillId="0" borderId="8" xfId="48" applyFont="1" applyBorder="1" applyAlignment="1">
      <alignment horizontal="center" vertical="center"/>
    </xf>
    <xf numFmtId="9" fontId="4" fillId="0" borderId="16" xfId="48" applyNumberFormat="1" applyFont="1" applyBorder="1" applyAlignment="1">
      <alignment horizontal="center" vertical="center"/>
    </xf>
    <xf numFmtId="0" fontId="4" fillId="0" borderId="8" xfId="48" applyFont="1" applyBorder="1"/>
    <xf numFmtId="9" fontId="4" fillId="0" borderId="16" xfId="48" applyNumberFormat="1" applyFont="1" applyBorder="1"/>
    <xf numFmtId="1" fontId="4" fillId="0" borderId="8" xfId="48" applyNumberFormat="1" applyFont="1" applyBorder="1"/>
    <xf numFmtId="9" fontId="4" fillId="0" borderId="5" xfId="48" applyNumberFormat="1" applyFont="1" applyAlignment="1">
      <alignment horizontal="left"/>
    </xf>
    <xf numFmtId="9" fontId="4" fillId="0" borderId="5" xfId="48" applyNumberFormat="1" applyFont="1"/>
    <xf numFmtId="9" fontId="4" fillId="0" borderId="15" xfId="48" applyNumberFormat="1" applyFont="1" applyBorder="1" applyAlignment="1">
      <alignment horizontal="left"/>
    </xf>
    <xf numFmtId="9" fontId="4" fillId="0" borderId="15" xfId="48" applyNumberFormat="1" applyFont="1" applyBorder="1"/>
    <xf numFmtId="1" fontId="4" fillId="0" borderId="7" xfId="48" applyNumberFormat="1" applyFont="1" applyBorder="1"/>
    <xf numFmtId="0" fontId="4" fillId="0" borderId="7" xfId="48" applyFont="1" applyBorder="1"/>
    <xf numFmtId="0" fontId="3" fillId="0" borderId="5" xfId="48" applyFont="1" applyAlignment="1">
      <alignment vertical="center" wrapText="1"/>
    </xf>
    <xf numFmtId="1" fontId="4" fillId="0" borderId="10" xfId="48" applyNumberFormat="1" applyFont="1" applyBorder="1" applyAlignment="1">
      <alignment horizontal="center" vertical="center"/>
    </xf>
    <xf numFmtId="9" fontId="4" fillId="8" borderId="12" xfId="48" applyNumberFormat="1" applyFont="1" applyFill="1" applyBorder="1" applyAlignment="1">
      <alignment horizontal="center" vertical="center"/>
    </xf>
    <xf numFmtId="0" fontId="4" fillId="0" borderId="10" xfId="48" applyFont="1" applyBorder="1" applyAlignment="1">
      <alignment vertical="center" wrapText="1"/>
    </xf>
    <xf numFmtId="1" fontId="4" fillId="0" borderId="5" xfId="48" applyNumberFormat="1" applyFont="1"/>
    <xf numFmtId="2" fontId="4" fillId="0" borderId="5" xfId="48" applyNumberFormat="1" applyFont="1"/>
    <xf numFmtId="1" fontId="4" fillId="0" borderId="8" xfId="48" applyNumberFormat="1" applyFont="1" applyBorder="1" applyAlignment="1">
      <alignment horizontal="center" vertical="center"/>
    </xf>
    <xf numFmtId="0" fontId="4" fillId="0" borderId="8" xfId="48" applyFont="1" applyBorder="1" applyAlignment="1">
      <alignment vertical="center" wrapText="1"/>
    </xf>
    <xf numFmtId="1" fontId="4" fillId="0" borderId="9" xfId="48" applyNumberFormat="1" applyFont="1" applyBorder="1"/>
    <xf numFmtId="9" fontId="4" fillId="0" borderId="9" xfId="48" applyNumberFormat="1" applyFont="1" applyBorder="1"/>
    <xf numFmtId="9" fontId="0" fillId="0" borderId="5" xfId="49" applyFont="1" applyAlignment="1"/>
    <xf numFmtId="9" fontId="4" fillId="0" borderId="5" xfId="49" applyFont="1"/>
    <xf numFmtId="0" fontId="3" fillId="0" borderId="5" xfId="48" applyFont="1"/>
    <xf numFmtId="1" fontId="3" fillId="0" borderId="5" xfId="48" applyNumberFormat="1" applyFont="1"/>
    <xf numFmtId="0" fontId="4" fillId="0" borderId="9" xfId="48" applyFont="1" applyBorder="1"/>
    <xf numFmtId="1" fontId="3" fillId="0" borderId="5" xfId="48" applyNumberFormat="1" applyFont="1" applyAlignment="1">
      <alignment vertical="center"/>
    </xf>
    <xf numFmtId="0" fontId="3" fillId="0" borderId="5" xfId="48" applyFont="1" applyAlignment="1">
      <alignment vertical="center"/>
    </xf>
    <xf numFmtId="9" fontId="0" fillId="0" borderId="20" xfId="49" applyFont="1" applyBorder="1" applyAlignment="1"/>
    <xf numFmtId="1" fontId="25" fillId="0" borderId="5" xfId="44" applyNumberFormat="1" applyAlignment="1">
      <alignment vertical="top"/>
    </xf>
    <xf numFmtId="0" fontId="25" fillId="0" borderId="5" xfId="44"/>
    <xf numFmtId="0" fontId="25" fillId="0" borderId="5" xfId="44" applyAlignment="1">
      <alignment horizontal="center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left" wrapText="1"/>
    </xf>
    <xf numFmtId="0" fontId="3" fillId="11" borderId="5" xfId="0" applyFont="1" applyFill="1" applyBorder="1" applyAlignment="1">
      <alignment horizontal="left" wrapText="1"/>
    </xf>
    <xf numFmtId="0" fontId="12" fillId="11" borderId="4" xfId="0" applyFont="1" applyFill="1" applyBorder="1"/>
    <xf numFmtId="0" fontId="24" fillId="0" borderId="23" xfId="48" applyFont="1" applyBorder="1" applyAlignment="1">
      <alignment horizontal="center" vertical="center" wrapText="1"/>
    </xf>
    <xf numFmtId="0" fontId="3" fillId="14" borderId="18" xfId="48" applyFont="1" applyFill="1" applyBorder="1" applyAlignment="1">
      <alignment horizontal="center" vertical="center" wrapText="1"/>
    </xf>
    <xf numFmtId="0" fontId="3" fillId="14" borderId="5" xfId="48" applyFont="1" applyFill="1" applyAlignment="1">
      <alignment horizontal="center" vertical="center" wrapText="1"/>
    </xf>
    <xf numFmtId="0" fontId="24" fillId="0" borderId="24" xfId="48" applyFont="1" applyBorder="1" applyAlignment="1">
      <alignment horizontal="center" vertical="center" wrapText="1"/>
    </xf>
    <xf numFmtId="0" fontId="3" fillId="0" borderId="17" xfId="48" applyFont="1" applyBorder="1" applyAlignment="1">
      <alignment horizontal="center" vertical="center"/>
    </xf>
    <xf numFmtId="0" fontId="5" fillId="0" borderId="5" xfId="48" applyFont="1" applyAlignment="1">
      <alignment horizontal="center"/>
    </xf>
    <xf numFmtId="0" fontId="3" fillId="0" borderId="5" xfId="48" applyFont="1" applyAlignment="1">
      <alignment horizontal="center"/>
    </xf>
    <xf numFmtId="0" fontId="12" fillId="0" borderId="10" xfId="48" applyFont="1" applyBorder="1"/>
    <xf numFmtId="0" fontId="12" fillId="0" borderId="8" xfId="48" applyFont="1" applyBorder="1"/>
    <xf numFmtId="0" fontId="11" fillId="0" borderId="5" xfId="48" applyAlignment="1">
      <alignment horizontal="center"/>
    </xf>
    <xf numFmtId="1" fontId="11" fillId="0" borderId="5" xfId="48" applyNumberFormat="1" applyAlignment="1">
      <alignment horizontal="center"/>
    </xf>
    <xf numFmtId="1" fontId="0" fillId="0" borderId="0" xfId="0" applyNumberFormat="1" applyAlignment="1">
      <alignment horizontal="center"/>
    </xf>
    <xf numFmtId="0" fontId="2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0" xfId="0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wrapText="1"/>
    </xf>
    <xf numFmtId="9" fontId="21" fillId="9" borderId="5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/>
    <xf numFmtId="0" fontId="20" fillId="0" borderId="5" xfId="0" applyFont="1" applyBorder="1" applyAlignment="1">
      <alignment wrapText="1"/>
    </xf>
    <xf numFmtId="0" fontId="0" fillId="11" borderId="0" xfId="0" applyFill="1" applyAlignment="1">
      <alignment vertical="center"/>
    </xf>
    <xf numFmtId="0" fontId="11" fillId="0" borderId="20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9" borderId="0" xfId="0" applyFill="1"/>
    <xf numFmtId="0" fontId="11" fillId="0" borderId="5" xfId="0" applyFont="1" applyBorder="1" applyAlignment="1">
      <alignment horizontal="center" vertical="center" wrapText="1"/>
    </xf>
    <xf numFmtId="9" fontId="8" fillId="8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Border="1"/>
    <xf numFmtId="1" fontId="8" fillId="0" borderId="37" xfId="0" applyNumberFormat="1" applyFont="1" applyBorder="1"/>
    <xf numFmtId="0" fontId="8" fillId="0" borderId="17" xfId="0" applyFont="1" applyBorder="1"/>
    <xf numFmtId="0" fontId="8" fillId="0" borderId="34" xfId="0" applyFont="1" applyBorder="1"/>
    <xf numFmtId="1" fontId="8" fillId="0" borderId="19" xfId="0" applyNumberFormat="1" applyFont="1" applyBorder="1"/>
    <xf numFmtId="9" fontId="8" fillId="8" borderId="35" xfId="0" applyNumberFormat="1" applyFont="1" applyFill="1" applyBorder="1" applyAlignment="1">
      <alignment horizontal="center" vertical="center"/>
    </xf>
    <xf numFmtId="1" fontId="8" fillId="0" borderId="38" xfId="0" applyNumberFormat="1" applyFont="1" applyBorder="1"/>
    <xf numFmtId="9" fontId="8" fillId="0" borderId="12" xfId="0" applyNumberFormat="1" applyFont="1" applyBorder="1" applyAlignment="1">
      <alignment horizontal="center"/>
    </xf>
    <xf numFmtId="9" fontId="8" fillId="0" borderId="16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9" fontId="8" fillId="0" borderId="9" xfId="0" applyNumberFormat="1" applyFont="1" applyBorder="1" applyAlignment="1">
      <alignment horizontal="center"/>
    </xf>
    <xf numFmtId="9" fontId="8" fillId="0" borderId="35" xfId="0" applyNumberFormat="1" applyFont="1" applyBorder="1" applyAlignment="1">
      <alignment horizontal="center"/>
    </xf>
    <xf numFmtId="9" fontId="8" fillId="0" borderId="36" xfId="0" applyNumberFormat="1" applyFont="1" applyBorder="1" applyAlignment="1">
      <alignment horizontal="center"/>
    </xf>
    <xf numFmtId="9" fontId="33" fillId="0" borderId="0" xfId="1" applyFont="1" applyAlignment="1"/>
    <xf numFmtId="0" fontId="2" fillId="0" borderId="0" xfId="0" applyFont="1" applyAlignment="1">
      <alignment vertical="center" wrapText="1"/>
    </xf>
    <xf numFmtId="9" fontId="33" fillId="0" borderId="0" xfId="0" applyNumberFormat="1" applyFont="1"/>
    <xf numFmtId="9" fontId="2" fillId="0" borderId="0" xfId="0" applyNumberFormat="1" applyFont="1"/>
    <xf numFmtId="0" fontId="0" fillId="0" borderId="5" xfId="0" applyBorder="1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48" applyFont="1" applyBorder="1" applyAlignment="1">
      <alignment horizontal="center" vertical="center"/>
    </xf>
    <xf numFmtId="0" fontId="3" fillId="0" borderId="18" xfId="48" applyFont="1" applyBorder="1"/>
    <xf numFmtId="1" fontId="4" fillId="0" borderId="18" xfId="48" applyNumberFormat="1" applyFont="1" applyBorder="1"/>
    <xf numFmtId="0" fontId="4" fillId="0" borderId="18" xfId="48" applyFont="1" applyBorder="1"/>
    <xf numFmtId="9" fontId="4" fillId="0" borderId="18" xfId="48" applyNumberFormat="1" applyFont="1" applyBorder="1"/>
    <xf numFmtId="0" fontId="4" fillId="0" borderId="34" xfId="48" applyFont="1" applyBorder="1"/>
    <xf numFmtId="0" fontId="12" fillId="0" borderId="19" xfId="48" applyFont="1" applyBorder="1"/>
    <xf numFmtId="1" fontId="3" fillId="0" borderId="5" xfId="48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" fontId="4" fillId="0" borderId="5" xfId="48" applyNumberFormat="1" applyFont="1" applyAlignment="1">
      <alignment horizontal="center" vertical="center"/>
    </xf>
    <xf numFmtId="1" fontId="4" fillId="0" borderId="5" xfId="48" applyNumberFormat="1" applyFont="1" applyAlignment="1">
      <alignment horizontal="center"/>
    </xf>
    <xf numFmtId="1" fontId="4" fillId="0" borderId="35" xfId="48" applyNumberFormat="1" applyFont="1" applyBorder="1" applyAlignment="1">
      <alignment horizontal="center"/>
    </xf>
    <xf numFmtId="0" fontId="0" fillId="0" borderId="5" xfId="48" applyFont="1" applyAlignment="1">
      <alignment horizontal="center"/>
    </xf>
    <xf numFmtId="0" fontId="0" fillId="0" borderId="35" xfId="48" applyFont="1" applyBorder="1" applyAlignment="1">
      <alignment horizontal="center"/>
    </xf>
    <xf numFmtId="0" fontId="11" fillId="0" borderId="35" xfId="48" applyBorder="1" applyAlignment="1">
      <alignment horizontal="center"/>
    </xf>
    <xf numFmtId="0" fontId="4" fillId="0" borderId="38" xfId="48" applyFont="1" applyBorder="1"/>
    <xf numFmtId="0" fontId="3" fillId="0" borderId="39" xfId="48" applyFont="1" applyBorder="1"/>
    <xf numFmtId="1" fontId="3" fillId="0" borderId="40" xfId="48" applyNumberFormat="1" applyFont="1" applyBorder="1" applyAlignment="1">
      <alignment horizontal="center" vertical="center"/>
    </xf>
    <xf numFmtId="1" fontId="3" fillId="0" borderId="37" xfId="48" applyNumberFormat="1" applyFont="1" applyBorder="1"/>
    <xf numFmtId="1" fontId="3" fillId="0" borderId="41" xfId="48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/>
    <xf numFmtId="1" fontId="3" fillId="0" borderId="18" xfId="0" applyNumberFormat="1" applyFont="1" applyBorder="1"/>
    <xf numFmtId="0" fontId="8" fillId="9" borderId="18" xfId="0" applyFont="1" applyFill="1" applyBorder="1"/>
    <xf numFmtId="0" fontId="8" fillId="0" borderId="18" xfId="0" applyFont="1" applyBorder="1"/>
    <xf numFmtId="0" fontId="12" fillId="0" borderId="19" xfId="0" applyFont="1" applyBorder="1"/>
    <xf numFmtId="0" fontId="3" fillId="0" borderId="5" xfId="0" applyFont="1" applyBorder="1"/>
    <xf numFmtId="1" fontId="3" fillId="0" borderId="5" xfId="0" applyNumberFormat="1" applyFont="1" applyBorder="1"/>
    <xf numFmtId="0" fontId="8" fillId="0" borderId="35" xfId="0" applyFont="1" applyBorder="1"/>
    <xf numFmtId="1" fontId="3" fillId="0" borderId="5" xfId="0" applyNumberFormat="1" applyFont="1" applyBorder="1" applyAlignment="1">
      <alignment horizontal="center"/>
    </xf>
    <xf numFmtId="1" fontId="4" fillId="9" borderId="5" xfId="0" applyNumberFormat="1" applyFont="1" applyFill="1" applyBorder="1"/>
    <xf numFmtId="1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8" fillId="9" borderId="5" xfId="0" applyNumberFormat="1" applyFont="1" applyFill="1" applyBorder="1"/>
    <xf numFmtId="0" fontId="2" fillId="0" borderId="5" xfId="0" applyFont="1" applyBorder="1"/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3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5" xfId="0" applyFont="1" applyBorder="1"/>
    <xf numFmtId="9" fontId="8" fillId="0" borderId="5" xfId="0" applyNumberFormat="1" applyFont="1" applyBorder="1"/>
    <xf numFmtId="0" fontId="12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1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8" fillId="0" borderId="37" xfId="0" applyFont="1" applyBorder="1"/>
    <xf numFmtId="0" fontId="3" fillId="0" borderId="41" xfId="0" applyFont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wrapText="1"/>
    </xf>
    <xf numFmtId="0" fontId="36" fillId="0" borderId="31" xfId="0" applyFont="1" applyBorder="1" applyAlignment="1">
      <alignment horizontal="center" wrapText="1"/>
    </xf>
    <xf numFmtId="0" fontId="37" fillId="0" borderId="30" xfId="0" applyFont="1" applyBorder="1" applyAlignment="1">
      <alignment horizontal="center" wrapText="1"/>
    </xf>
    <xf numFmtId="0" fontId="36" fillId="0" borderId="29" xfId="0" applyFont="1" applyBorder="1" applyAlignment="1">
      <alignment horizontal="center" wrapText="1"/>
    </xf>
    <xf numFmtId="1" fontId="0" fillId="0" borderId="24" xfId="0" applyNumberFormat="1" applyBorder="1" applyAlignment="1">
      <alignment horizontal="center"/>
    </xf>
    <xf numFmtId="9" fontId="8" fillId="0" borderId="24" xfId="1" applyFon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9" fontId="0" fillId="0" borderId="35" xfId="1" applyFont="1" applyBorder="1" applyAlignment="1">
      <alignment horizontal="center"/>
    </xf>
    <xf numFmtId="1" fontId="0" fillId="0" borderId="19" xfId="1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9" fontId="8" fillId="0" borderId="25" xfId="1" applyFont="1" applyBorder="1" applyAlignment="1">
      <alignment horizontal="center"/>
    </xf>
    <xf numFmtId="1" fontId="8" fillId="0" borderId="38" xfId="0" applyNumberFormat="1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" fontId="0" fillId="0" borderId="38" xfId="1" applyNumberFormat="1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0" fontId="14" fillId="13" borderId="29" xfId="48" applyFont="1" applyFill="1" applyBorder="1" applyAlignment="1">
      <alignment vertical="top" wrapText="1"/>
    </xf>
    <xf numFmtId="0" fontId="14" fillId="14" borderId="33" xfId="48" applyFont="1" applyFill="1" applyBorder="1" applyAlignment="1">
      <alignment horizontal="center" vertical="top" wrapText="1"/>
    </xf>
    <xf numFmtId="0" fontId="3" fillId="14" borderId="33" xfId="48" applyFont="1" applyFill="1" applyBorder="1" applyAlignment="1">
      <alignment horizontal="center" vertical="top" wrapText="1"/>
    </xf>
    <xf numFmtId="0" fontId="3" fillId="14" borderId="32" xfId="48" applyFont="1" applyFill="1" applyBorder="1" applyAlignment="1">
      <alignment horizontal="center" vertical="top" wrapText="1"/>
    </xf>
    <xf numFmtId="0" fontId="3" fillId="0" borderId="31" xfId="48" applyFont="1" applyBorder="1" applyAlignment="1">
      <alignment horizontal="center" vertical="top" wrapText="1"/>
    </xf>
    <xf numFmtId="0" fontId="14" fillId="0" borderId="31" xfId="48" applyFont="1" applyBorder="1" applyAlignment="1">
      <alignment horizontal="center" vertical="top" wrapText="1"/>
    </xf>
    <xf numFmtId="0" fontId="14" fillId="13" borderId="31" xfId="48" applyFont="1" applyFill="1" applyBorder="1" applyAlignment="1">
      <alignment vertical="top" wrapText="1"/>
    </xf>
    <xf numFmtId="0" fontId="3" fillId="0" borderId="17" xfId="48" applyFont="1" applyBorder="1"/>
    <xf numFmtId="0" fontId="0" fillId="0" borderId="18" xfId="0" applyBorder="1"/>
    <xf numFmtId="0" fontId="0" fillId="0" borderId="34" xfId="0" applyBorder="1"/>
    <xf numFmtId="0" fontId="3" fillId="0" borderId="19" xfId="48" applyFont="1" applyBorder="1"/>
    <xf numFmtId="0" fontId="4" fillId="0" borderId="19" xfId="48" applyFont="1" applyBorder="1"/>
    <xf numFmtId="0" fontId="3" fillId="0" borderId="42" xfId="48" applyFont="1" applyBorder="1"/>
    <xf numFmtId="0" fontId="4" fillId="0" borderId="5" xfId="48" applyFont="1" applyAlignment="1">
      <alignment horizontal="center"/>
    </xf>
    <xf numFmtId="0" fontId="3" fillId="0" borderId="40" xfId="48" applyFont="1" applyBorder="1"/>
    <xf numFmtId="1" fontId="3" fillId="0" borderId="40" xfId="48" applyNumberFormat="1" applyFont="1" applyBorder="1" applyAlignment="1">
      <alignment vertical="center"/>
    </xf>
    <xf numFmtId="0" fontId="3" fillId="0" borderId="40" xfId="48" applyFont="1" applyBorder="1" applyAlignment="1">
      <alignment horizontal="center" vertical="center"/>
    </xf>
    <xf numFmtId="0" fontId="3" fillId="0" borderId="41" xfId="48" applyFont="1" applyBorder="1" applyAlignment="1">
      <alignment horizontal="center" vertical="center"/>
    </xf>
    <xf numFmtId="1" fontId="4" fillId="0" borderId="34" xfId="48" applyNumberFormat="1" applyFont="1" applyBorder="1"/>
    <xf numFmtId="1" fontId="3" fillId="0" borderId="5" xfId="48" applyNumberFormat="1" applyFont="1" applyAlignment="1">
      <alignment horizontal="center"/>
    </xf>
    <xf numFmtId="1" fontId="0" fillId="0" borderId="5" xfId="48" applyNumberFormat="1" applyFont="1" applyAlignment="1">
      <alignment horizontal="center"/>
    </xf>
    <xf numFmtId="1" fontId="4" fillId="9" borderId="5" xfId="48" applyNumberFormat="1" applyFont="1" applyFill="1"/>
    <xf numFmtId="0" fontId="4" fillId="9" borderId="5" xfId="48" applyFont="1" applyFill="1"/>
    <xf numFmtId="1" fontId="8" fillId="0" borderId="18" xfId="0" applyNumberFormat="1" applyFont="1" applyBorder="1"/>
    <xf numFmtId="9" fontId="8" fillId="0" borderId="18" xfId="0" applyNumberFormat="1" applyFont="1" applyBorder="1"/>
    <xf numFmtId="1" fontId="8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8" fillId="0" borderId="38" xfId="0" applyFont="1" applyBorder="1"/>
    <xf numFmtId="1" fontId="3" fillId="0" borderId="40" xfId="0" applyNumberFormat="1" applyFont="1" applyBorder="1" applyAlignment="1">
      <alignment horizontal="center" vertical="center"/>
    </xf>
    <xf numFmtId="1" fontId="3" fillId="0" borderId="37" xfId="0" applyNumberFormat="1" applyFont="1" applyBorder="1"/>
    <xf numFmtId="1" fontId="3" fillId="0" borderId="41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9" xfId="0" applyFont="1" applyBorder="1"/>
    <xf numFmtId="0" fontId="8" fillId="0" borderId="19" xfId="0" applyFont="1" applyBorder="1"/>
    <xf numFmtId="0" fontId="3" fillId="0" borderId="42" xfId="0" applyFont="1" applyBorder="1"/>
    <xf numFmtId="0" fontId="3" fillId="13" borderId="37" xfId="0" applyFont="1" applyFill="1" applyBorder="1" applyAlignment="1">
      <alignment horizontal="center" vertical="center" wrapText="1"/>
    </xf>
    <xf numFmtId="1" fontId="0" fillId="0" borderId="5" xfId="1" applyNumberFormat="1" applyFont="1" applyBorder="1" applyAlignment="1">
      <alignment horizontal="center"/>
    </xf>
    <xf numFmtId="9" fontId="8" fillId="0" borderId="5" xfId="1" applyFont="1" applyBorder="1" applyAlignment="1">
      <alignment horizontal="center"/>
    </xf>
    <xf numFmtId="0" fontId="27" fillId="0" borderId="5" xfId="44" applyFont="1" applyAlignment="1">
      <alignment horizontal="center" wrapText="1"/>
    </xf>
    <xf numFmtId="0" fontId="27" fillId="0" borderId="5" xfId="44" applyFont="1" applyAlignment="1">
      <alignment horizontal="center"/>
    </xf>
    <xf numFmtId="0" fontId="27" fillId="0" borderId="5" xfId="44" applyFont="1"/>
    <xf numFmtId="0" fontId="28" fillId="0" borderId="5" xfId="44" applyFont="1"/>
    <xf numFmtId="165" fontId="29" fillId="0" borderId="5" xfId="45" applyNumberFormat="1" applyFont="1" applyFill="1" applyBorder="1" applyAlignment="1">
      <alignment horizontal="right" vertical="top"/>
    </xf>
    <xf numFmtId="165" fontId="25" fillId="0" borderId="5" xfId="45" applyNumberFormat="1" applyFont="1" applyFill="1" applyBorder="1" applyAlignment="1">
      <alignment horizontal="right" vertical="top"/>
    </xf>
    <xf numFmtId="3" fontId="25" fillId="0" borderId="5" xfId="44" applyNumberFormat="1"/>
    <xf numFmtId="0" fontId="27" fillId="0" borderId="5" xfId="44" applyFont="1" applyAlignment="1">
      <alignment horizontal="center" vertical="center"/>
    </xf>
    <xf numFmtId="165" fontId="30" fillId="0" borderId="5" xfId="45" applyNumberFormat="1" applyFont="1" applyFill="1" applyBorder="1" applyAlignment="1">
      <alignment horizontal="right" vertical="top"/>
    </xf>
    <xf numFmtId="165" fontId="31" fillId="0" borderId="5" xfId="45" applyNumberFormat="1" applyFont="1" applyFill="1" applyBorder="1" applyAlignment="1">
      <alignment horizontal="right" vertical="top"/>
    </xf>
    <xf numFmtId="1" fontId="14" fillId="0" borderId="5" xfId="0" applyNumberFormat="1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center"/>
    </xf>
    <xf numFmtId="9" fontId="0" fillId="0" borderId="5" xfId="0" applyNumberFormat="1" applyBorder="1"/>
    <xf numFmtId="0" fontId="14" fillId="0" borderId="5" xfId="0" applyFont="1" applyBorder="1" applyAlignment="1">
      <alignment horizontal="center"/>
    </xf>
    <xf numFmtId="0" fontId="38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0" fillId="0" borderId="0" xfId="0" applyNumberFormat="1"/>
    <xf numFmtId="9" fontId="28" fillId="0" borderId="5" xfId="44" applyNumberFormat="1" applyFont="1"/>
    <xf numFmtId="9" fontId="0" fillId="0" borderId="0" xfId="0" applyNumberFormat="1"/>
    <xf numFmtId="9" fontId="8" fillId="8" borderId="35" xfId="0" applyNumberFormat="1" applyFont="1" applyFill="1" applyBorder="1" applyAlignment="1">
      <alignment horizontal="right" vertical="center"/>
    </xf>
    <xf numFmtId="9" fontId="8" fillId="0" borderId="12" xfId="0" applyNumberFormat="1" applyFont="1" applyBorder="1" applyAlignment="1">
      <alignment horizontal="right"/>
    </xf>
    <xf numFmtId="9" fontId="8" fillId="9" borderId="16" xfId="0" applyNumberFormat="1" applyFont="1" applyFill="1" applyBorder="1" applyAlignment="1">
      <alignment horizontal="right"/>
    </xf>
    <xf numFmtId="9" fontId="8" fillId="9" borderId="12" xfId="0" applyNumberFormat="1" applyFont="1" applyFill="1" applyBorder="1"/>
    <xf numFmtId="9" fontId="4" fillId="9" borderId="16" xfId="48" applyNumberFormat="1" applyFont="1" applyFill="1" applyBorder="1"/>
    <xf numFmtId="9" fontId="4" fillId="9" borderId="12" xfId="48" applyNumberFormat="1" applyFont="1" applyFill="1" applyBorder="1"/>
    <xf numFmtId="9" fontId="0" fillId="9" borderId="35" xfId="1" applyFont="1" applyFill="1" applyBorder="1" applyAlignment="1">
      <alignment horizontal="center"/>
    </xf>
    <xf numFmtId="9" fontId="0" fillId="9" borderId="36" xfId="1" applyFont="1" applyFill="1" applyBorder="1" applyAlignment="1">
      <alignment horizontal="center"/>
    </xf>
    <xf numFmtId="0" fontId="38" fillId="11" borderId="20" xfId="0" applyFont="1" applyFill="1" applyBorder="1" applyAlignment="1">
      <alignment horizontal="center" vertical="center"/>
    </xf>
    <xf numFmtId="1" fontId="38" fillId="11" borderId="20" xfId="0" applyNumberFormat="1" applyFont="1" applyFill="1" applyBorder="1" applyAlignment="1">
      <alignment horizontal="center" vertical="center"/>
    </xf>
    <xf numFmtId="1" fontId="0" fillId="11" borderId="20" xfId="0" applyNumberForma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9" fontId="21" fillId="9" borderId="5" xfId="0" applyNumberFormat="1" applyFont="1" applyFill="1" applyBorder="1" applyAlignment="1">
      <alignment horizontal="center" vertical="center"/>
    </xf>
    <xf numFmtId="1" fontId="14" fillId="18" borderId="26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13" borderId="31" xfId="0" applyFont="1" applyFill="1" applyBorder="1" applyAlignment="1">
      <alignment horizontal="center" vertical="center" wrapText="1"/>
    </xf>
    <xf numFmtId="0" fontId="14" fillId="13" borderId="2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1" fontId="14" fillId="11" borderId="26" xfId="0" applyNumberFormat="1" applyFont="1" applyFill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 wrapText="1"/>
    </xf>
    <xf numFmtId="0" fontId="38" fillId="11" borderId="2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8" fillId="18" borderId="20" xfId="0" applyFont="1" applyFill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38" fillId="9" borderId="20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center" vertical="center"/>
    </xf>
    <xf numFmtId="0" fontId="8" fillId="0" borderId="23" xfId="0" applyFont="1" applyBorder="1"/>
    <xf numFmtId="0" fontId="41" fillId="11" borderId="20" xfId="0" applyFont="1" applyFill="1" applyBorder="1" applyAlignment="1">
      <alignment horizontal="center" vertical="center" wrapText="1"/>
    </xf>
    <xf numFmtId="0" fontId="43" fillId="11" borderId="20" xfId="0" applyFont="1" applyFill="1" applyBorder="1" applyAlignment="1">
      <alignment horizontal="center" vertical="center"/>
    </xf>
    <xf numFmtId="0" fontId="41" fillId="11" borderId="20" xfId="0" applyFont="1" applyFill="1" applyBorder="1" applyAlignment="1">
      <alignment horizontal="center" vertical="center"/>
    </xf>
    <xf numFmtId="0" fontId="41" fillId="11" borderId="26" xfId="0" applyFont="1" applyFill="1" applyBorder="1" applyAlignment="1">
      <alignment horizontal="center" vertical="center"/>
    </xf>
    <xf numFmtId="0" fontId="42" fillId="11" borderId="20" xfId="0" applyFont="1" applyFill="1" applyBorder="1" applyAlignment="1">
      <alignment horizontal="center" vertical="center"/>
    </xf>
    <xf numFmtId="0" fontId="43" fillId="18" borderId="2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1" fillId="18" borderId="26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vertical="center"/>
    </xf>
    <xf numFmtId="0" fontId="43" fillId="11" borderId="22" xfId="0" applyFont="1" applyFill="1" applyBorder="1" applyAlignment="1">
      <alignment vertical="center"/>
    </xf>
    <xf numFmtId="0" fontId="43" fillId="18" borderId="20" xfId="0" applyFont="1" applyFill="1" applyBorder="1" applyAlignment="1">
      <alignment vertical="center"/>
    </xf>
    <xf numFmtId="0" fontId="43" fillId="11" borderId="20" xfId="0" applyFont="1" applyFill="1" applyBorder="1" applyAlignment="1">
      <alignment vertical="center"/>
    </xf>
    <xf numFmtId="0" fontId="44" fillId="11" borderId="20" xfId="0" applyFont="1" applyFill="1" applyBorder="1" applyAlignment="1">
      <alignment horizontal="center" vertical="center" wrapText="1"/>
    </xf>
    <xf numFmtId="0" fontId="44" fillId="12" borderId="20" xfId="0" applyFont="1" applyFill="1" applyBorder="1" applyAlignment="1">
      <alignment horizontal="center" vertical="center" wrapText="1"/>
    </xf>
    <xf numFmtId="0" fontId="44" fillId="11" borderId="20" xfId="0" applyFont="1" applyFill="1" applyBorder="1" applyAlignment="1">
      <alignment horizontal="center" vertical="top" wrapText="1"/>
    </xf>
    <xf numFmtId="0" fontId="44" fillId="12" borderId="20" xfId="0" applyFont="1" applyFill="1" applyBorder="1" applyAlignment="1">
      <alignment horizontal="center" vertical="top" wrapText="1"/>
    </xf>
    <xf numFmtId="0" fontId="21" fillId="0" borderId="5" xfId="0" applyFont="1" applyBorder="1"/>
    <xf numFmtId="0" fontId="20" fillId="11" borderId="5" xfId="0" applyFont="1" applyFill="1" applyBorder="1" applyAlignment="1">
      <alignment wrapText="1"/>
    </xf>
    <xf numFmtId="0" fontId="14" fillId="0" borderId="5" xfId="0" applyFont="1" applyBorder="1"/>
    <xf numFmtId="0" fontId="40" fillId="0" borderId="5" xfId="0" applyFont="1" applyBorder="1"/>
    <xf numFmtId="0" fontId="47" fillId="11" borderId="5" xfId="0" applyFont="1" applyFill="1" applyBorder="1"/>
    <xf numFmtId="0" fontId="11" fillId="0" borderId="0" xfId="0" applyFont="1"/>
    <xf numFmtId="0" fontId="38" fillId="11" borderId="5" xfId="0" applyFont="1" applyFill="1" applyBorder="1" applyAlignment="1">
      <alignment horizontal="left" vertical="center"/>
    </xf>
    <xf numFmtId="0" fontId="38" fillId="11" borderId="20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14" fillId="0" borderId="0" xfId="0" applyFont="1"/>
    <xf numFmtId="1" fontId="15" fillId="11" borderId="20" xfId="0" applyNumberFormat="1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1" fontId="11" fillId="11" borderId="26" xfId="0" applyNumberFormat="1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6" fillId="0" borderId="20" xfId="44" applyFont="1" applyBorder="1" applyAlignment="1">
      <alignment horizontal="center" vertical="center"/>
    </xf>
    <xf numFmtId="0" fontId="26" fillId="0" borderId="31" xfId="44" applyFont="1" applyBorder="1" applyAlignment="1">
      <alignment horizontal="center"/>
    </xf>
    <xf numFmtId="0" fontId="4" fillId="23" borderId="17" xfId="48" applyFont="1" applyFill="1" applyBorder="1"/>
    <xf numFmtId="0" fontId="4" fillId="23" borderId="34" xfId="48" applyFont="1" applyFill="1" applyBorder="1"/>
    <xf numFmtId="0" fontId="4" fillId="23" borderId="19" xfId="48" applyFont="1" applyFill="1" applyBorder="1"/>
    <xf numFmtId="0" fontId="4" fillId="23" borderId="35" xfId="48" applyFont="1" applyFill="1" applyBorder="1"/>
    <xf numFmtId="9" fontId="4" fillId="23" borderId="35" xfId="48" applyNumberFormat="1" applyFont="1" applyFill="1" applyBorder="1"/>
    <xf numFmtId="0" fontId="4" fillId="23" borderId="38" xfId="48" applyFont="1" applyFill="1" applyBorder="1"/>
    <xf numFmtId="9" fontId="4" fillId="23" borderId="36" xfId="48" applyNumberFormat="1" applyFont="1" applyFill="1" applyBorder="1"/>
    <xf numFmtId="0" fontId="14" fillId="0" borderId="5" xfId="0" applyFont="1" applyBorder="1" applyAlignment="1">
      <alignment horizontal="center" wrapText="1"/>
    </xf>
    <xf numFmtId="0" fontId="11" fillId="0" borderId="20" xfId="0" applyFont="1" applyBorder="1"/>
    <xf numFmtId="0" fontId="11" fillId="0" borderId="20" xfId="0" applyFont="1" applyBorder="1" applyAlignment="1">
      <alignment horizontal="left"/>
    </xf>
    <xf numFmtId="0" fontId="11" fillId="0" borderId="27" xfId="0" applyFont="1" applyBorder="1"/>
    <xf numFmtId="0" fontId="14" fillId="0" borderId="31" xfId="0" applyFont="1" applyBorder="1"/>
    <xf numFmtId="0" fontId="14" fillId="0" borderId="31" xfId="0" applyFont="1" applyBorder="1" applyAlignment="1">
      <alignment horizontal="left" wrapText="1"/>
    </xf>
    <xf numFmtId="0" fontId="14" fillId="0" borderId="31" xfId="0" applyFont="1" applyBorder="1" applyAlignment="1">
      <alignment horizontal="left" vertical="center"/>
    </xf>
    <xf numFmtId="1" fontId="26" fillId="0" borderId="20" xfId="44" applyNumberFormat="1" applyFont="1" applyBorder="1" applyAlignment="1">
      <alignment horizontal="center" vertical="center"/>
    </xf>
    <xf numFmtId="1" fontId="26" fillId="0" borderId="20" xfId="44" applyNumberFormat="1" applyFont="1" applyBorder="1" applyAlignment="1">
      <alignment horizontal="center"/>
    </xf>
    <xf numFmtId="1" fontId="26" fillId="9" borderId="20" xfId="44" applyNumberFormat="1" applyFont="1" applyFill="1" applyBorder="1" applyAlignment="1">
      <alignment horizontal="center"/>
    </xf>
    <xf numFmtId="1" fontId="8" fillId="0" borderId="12" xfId="0" applyNumberFormat="1" applyFont="1" applyBorder="1"/>
    <xf numFmtId="0" fontId="44" fillId="9" borderId="5" xfId="0" applyFont="1" applyFill="1" applyBorder="1" applyAlignment="1">
      <alignment horizontal="center" vertical="center" wrapText="1"/>
    </xf>
    <xf numFmtId="9" fontId="4" fillId="0" borderId="24" xfId="49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9" fontId="0" fillId="0" borderId="35" xfId="49" applyFont="1" applyBorder="1" applyAlignment="1">
      <alignment horizontal="center"/>
    </xf>
    <xf numFmtId="1" fontId="0" fillId="0" borderId="19" xfId="49" applyNumberFormat="1" applyFont="1" applyBorder="1" applyAlignment="1">
      <alignment horizontal="center"/>
    </xf>
    <xf numFmtId="9" fontId="4" fillId="0" borderId="25" xfId="49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9" fontId="0" fillId="0" borderId="36" xfId="49" applyFont="1" applyBorder="1" applyAlignment="1">
      <alignment horizontal="center"/>
    </xf>
    <xf numFmtId="1" fontId="0" fillId="0" borderId="38" xfId="49" applyNumberFormat="1" applyFont="1" applyBorder="1" applyAlignment="1">
      <alignment horizontal="center"/>
    </xf>
    <xf numFmtId="0" fontId="14" fillId="0" borderId="20" xfId="0" applyFont="1" applyBorder="1"/>
    <xf numFmtId="0" fontId="14" fillId="9" borderId="5" xfId="0" applyFont="1" applyFill="1" applyBorder="1"/>
    <xf numFmtId="0" fontId="12" fillId="0" borderId="20" xfId="0" applyFont="1" applyBorder="1" applyAlignment="1">
      <alignment horizontal="center"/>
    </xf>
    <xf numFmtId="0" fontId="12" fillId="0" borderId="5" xfId="0" applyFont="1" applyBorder="1"/>
    <xf numFmtId="0" fontId="16" fillId="0" borderId="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1" fontId="0" fillId="0" borderId="5" xfId="0" applyNumberFormat="1" applyBorder="1"/>
    <xf numFmtId="0" fontId="0" fillId="0" borderId="21" xfId="0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1" fontId="24" fillId="9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1" fontId="14" fillId="9" borderId="20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3" fillId="11" borderId="21" xfId="0" applyFont="1" applyFill="1" applyBorder="1" applyAlignment="1">
      <alignment horizontal="left" vertical="center"/>
    </xf>
    <xf numFmtId="0" fontId="43" fillId="11" borderId="22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0" fontId="43" fillId="11" borderId="26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1" fontId="0" fillId="0" borderId="20" xfId="0" applyNumberFormat="1" applyBorder="1" applyAlignment="1">
      <alignment vertical="center"/>
    </xf>
    <xf numFmtId="1" fontId="16" fillId="0" borderId="20" xfId="0" applyNumberFormat="1" applyFont="1" applyBorder="1" applyAlignment="1">
      <alignment horizontal="center" vertical="center"/>
    </xf>
    <xf numFmtId="0" fontId="64" fillId="11" borderId="21" xfId="0" applyFont="1" applyFill="1" applyBorder="1" applyAlignment="1">
      <alignment horizontal="left" vertical="center"/>
    </xf>
    <xf numFmtId="0" fontId="19" fillId="1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0" fillId="55" borderId="20" xfId="0" applyFill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56" borderId="20" xfId="0" applyFill="1" applyBorder="1" applyAlignment="1">
      <alignment horizontal="center" vertical="center"/>
    </xf>
    <xf numFmtId="0" fontId="65" fillId="0" borderId="20" xfId="0" applyFont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 wrapText="1"/>
    </xf>
    <xf numFmtId="0" fontId="0" fillId="57" borderId="20" xfId="0" applyFill="1" applyBorder="1" applyAlignment="1">
      <alignment horizontal="center" vertical="center" wrapText="1"/>
    </xf>
    <xf numFmtId="0" fontId="0" fillId="17" borderId="2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 wrapText="1"/>
    </xf>
    <xf numFmtId="0" fontId="36" fillId="0" borderId="28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5" xfId="0" applyFont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5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" fontId="11" fillId="0" borderId="28" xfId="0" applyNumberFormat="1" applyFont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14" fillId="0" borderId="37" xfId="0" applyFont="1" applyBorder="1" applyAlignment="1">
      <alignment horizontal="center"/>
    </xf>
    <xf numFmtId="1" fontId="11" fillId="0" borderId="28" xfId="0" applyNumberFormat="1" applyFont="1" applyBorder="1" applyAlignment="1">
      <alignment horizontal="center" vertical="center" wrapText="1" shrinkToFit="1"/>
    </xf>
    <xf numFmtId="1" fontId="0" fillId="0" borderId="29" xfId="0" applyNumberFormat="1" applyBorder="1" applyAlignment="1">
      <alignment horizontal="center" vertical="center" wrapText="1" shrinkToFit="1"/>
    </xf>
    <xf numFmtId="1" fontId="0" fillId="0" borderId="30" xfId="0" applyNumberFormat="1" applyBorder="1" applyAlignment="1">
      <alignment horizontal="center" vertical="center" wrapText="1" shrinkToFit="1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27" fillId="0" borderId="37" xfId="44" applyFont="1" applyBorder="1" applyAlignment="1">
      <alignment horizontal="center" wrapText="1"/>
    </xf>
    <xf numFmtId="0" fontId="34" fillId="16" borderId="28" xfId="0" applyFont="1" applyFill="1" applyBorder="1" applyAlignment="1">
      <alignment horizontal="center" vertical="center"/>
    </xf>
    <xf numFmtId="0" fontId="34" fillId="16" borderId="29" xfId="0" applyFont="1" applyFill="1" applyBorder="1" applyAlignment="1">
      <alignment horizontal="center" vertical="center"/>
    </xf>
    <xf numFmtId="0" fontId="34" fillId="16" borderId="30" xfId="0" applyFont="1" applyFill="1" applyBorder="1" applyAlignment="1">
      <alignment horizontal="center" vertical="center"/>
    </xf>
    <xf numFmtId="0" fontId="34" fillId="19" borderId="28" xfId="0" applyFont="1" applyFill="1" applyBorder="1" applyAlignment="1">
      <alignment horizontal="center" vertical="center"/>
    </xf>
    <xf numFmtId="0" fontId="34" fillId="19" borderId="2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49" fillId="0" borderId="28" xfId="0" applyFont="1" applyBorder="1" applyAlignment="1">
      <alignment horizontal="left" vertical="center" wrapText="1"/>
    </xf>
    <xf numFmtId="0" fontId="49" fillId="0" borderId="29" xfId="0" applyFont="1" applyBorder="1" applyAlignment="1">
      <alignment horizontal="left" vertical="center" wrapText="1"/>
    </xf>
    <xf numFmtId="0" fontId="49" fillId="0" borderId="30" xfId="0" applyFont="1" applyBorder="1" applyAlignment="1">
      <alignment horizontal="left" vertical="center" wrapText="1"/>
    </xf>
    <xf numFmtId="0" fontId="35" fillId="21" borderId="28" xfId="0" applyFont="1" applyFill="1" applyBorder="1" applyAlignment="1">
      <alignment horizontal="center" vertical="center"/>
    </xf>
    <xf numFmtId="0" fontId="35" fillId="21" borderId="29" xfId="0" applyFont="1" applyFill="1" applyBorder="1" applyAlignment="1">
      <alignment horizontal="center" vertical="center"/>
    </xf>
    <xf numFmtId="0" fontId="35" fillId="20" borderId="28" xfId="0" applyFont="1" applyFill="1" applyBorder="1" applyAlignment="1">
      <alignment horizontal="center" vertical="center"/>
    </xf>
    <xf numFmtId="0" fontId="35" fillId="20" borderId="29" xfId="0" applyFont="1" applyFill="1" applyBorder="1" applyAlignment="1">
      <alignment horizontal="center" vertical="center"/>
    </xf>
    <xf numFmtId="0" fontId="35" fillId="22" borderId="28" xfId="0" applyFont="1" applyFill="1" applyBorder="1" applyAlignment="1">
      <alignment horizontal="center" vertical="center"/>
    </xf>
    <xf numFmtId="0" fontId="35" fillId="22" borderId="29" xfId="0" applyFont="1" applyFill="1" applyBorder="1" applyAlignment="1">
      <alignment horizontal="center" vertical="center"/>
    </xf>
    <xf numFmtId="0" fontId="35" fillId="22" borderId="30" xfId="0" applyFon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/>
    </xf>
    <xf numFmtId="0" fontId="41" fillId="11" borderId="22" xfId="0" applyFont="1" applyFill="1" applyBorder="1" applyAlignment="1">
      <alignment horizontal="center" vertical="center"/>
    </xf>
    <xf numFmtId="0" fontId="41" fillId="11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4" fillId="11" borderId="20" xfId="0" applyFont="1" applyFill="1" applyBorder="1" applyAlignment="1">
      <alignment horizontal="center" vertical="center" wrapText="1"/>
    </xf>
    <xf numFmtId="0" fontId="46" fillId="11" borderId="20" xfId="0" applyFont="1" applyFill="1" applyBorder="1" applyAlignment="1">
      <alignment horizontal="center" vertical="center" wrapText="1"/>
    </xf>
    <xf numFmtId="0" fontId="44" fillId="11" borderId="20" xfId="0" applyFont="1" applyFill="1" applyBorder="1" applyAlignment="1">
      <alignment horizontal="center" vertical="center"/>
    </xf>
    <xf numFmtId="0" fontId="45" fillId="11" borderId="20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left" vertical="center"/>
    </xf>
    <xf numFmtId="0" fontId="43" fillId="11" borderId="22" xfId="0" applyFont="1" applyFill="1" applyBorder="1" applyAlignment="1">
      <alignment horizontal="left" vertical="center"/>
    </xf>
    <xf numFmtId="0" fontId="38" fillId="11" borderId="5" xfId="0" applyFont="1" applyFill="1" applyBorder="1" applyAlignment="1">
      <alignment horizontal="left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14" borderId="23" xfId="0" applyFont="1" applyFill="1" applyBorder="1" applyAlignment="1">
      <alignment horizontal="center" vertical="center" wrapText="1"/>
    </xf>
    <xf numFmtId="0" fontId="3" fillId="14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 wrapText="1"/>
    </xf>
    <xf numFmtId="0" fontId="19" fillId="13" borderId="25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left" vertical="center"/>
    </xf>
    <xf numFmtId="0" fontId="38" fillId="9" borderId="22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64" fillId="11" borderId="21" xfId="0" applyFont="1" applyFill="1" applyBorder="1" applyAlignment="1">
      <alignment horizontal="left" vertical="center"/>
    </xf>
    <xf numFmtId="0" fontId="64" fillId="11" borderId="22" xfId="0" applyFont="1" applyFill="1" applyBorder="1" applyAlignment="1">
      <alignment horizontal="left" vertical="center"/>
    </xf>
    <xf numFmtId="0" fontId="34" fillId="17" borderId="28" xfId="0" applyFont="1" applyFill="1" applyBorder="1" applyAlignment="1">
      <alignment horizontal="center" vertical="center"/>
    </xf>
    <xf numFmtId="0" fontId="34" fillId="17" borderId="29" xfId="0" applyFont="1" applyFill="1" applyBorder="1" applyAlignment="1">
      <alignment horizontal="center" vertical="center"/>
    </xf>
    <xf numFmtId="0" fontId="34" fillId="17" borderId="30" xfId="0" applyFont="1" applyFill="1" applyBorder="1" applyAlignment="1">
      <alignment horizontal="center" vertical="center"/>
    </xf>
    <xf numFmtId="0" fontId="35" fillId="15" borderId="28" xfId="0" applyFont="1" applyFill="1" applyBorder="1" applyAlignment="1">
      <alignment horizontal="center" vertical="center"/>
    </xf>
    <xf numFmtId="0" fontId="35" fillId="15" borderId="29" xfId="0" applyFont="1" applyFill="1" applyBorder="1" applyAlignment="1">
      <alignment horizontal="center" vertical="center"/>
    </xf>
    <xf numFmtId="0" fontId="35" fillId="15" borderId="30" xfId="0" applyFont="1" applyFill="1" applyBorder="1" applyAlignment="1">
      <alignment horizontal="center" vertical="center"/>
    </xf>
    <xf numFmtId="0" fontId="48" fillId="0" borderId="37" xfId="0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4" fillId="0" borderId="17" xfId="48" applyFont="1" applyBorder="1" applyAlignment="1">
      <alignment horizontal="center" vertical="center" wrapText="1"/>
    </xf>
    <xf numFmtId="0" fontId="24" fillId="0" borderId="18" xfId="48" applyFont="1" applyBorder="1" applyAlignment="1">
      <alignment horizontal="center" vertical="center" wrapText="1"/>
    </xf>
    <xf numFmtId="0" fontId="24" fillId="0" borderId="34" xfId="48" applyFont="1" applyBorder="1" applyAlignment="1">
      <alignment horizontal="center" vertical="center" wrapText="1"/>
    </xf>
    <xf numFmtId="0" fontId="24" fillId="13" borderId="17" xfId="48" applyFont="1" applyFill="1" applyBorder="1" applyAlignment="1">
      <alignment horizontal="center" vertical="center" wrapText="1"/>
    </xf>
    <xf numFmtId="0" fontId="24" fillId="13" borderId="18" xfId="48" applyFont="1" applyFill="1" applyBorder="1" applyAlignment="1">
      <alignment horizontal="center" vertical="center" wrapText="1"/>
    </xf>
    <xf numFmtId="0" fontId="24" fillId="13" borderId="34" xfId="48" applyFont="1" applyFill="1" applyBorder="1" applyAlignment="1">
      <alignment horizontal="center" vertical="center" wrapText="1"/>
    </xf>
    <xf numFmtId="0" fontId="3" fillId="0" borderId="23" xfId="48" applyFont="1" applyBorder="1" applyAlignment="1">
      <alignment horizontal="center" vertical="center"/>
    </xf>
    <xf numFmtId="0" fontId="3" fillId="0" borderId="25" xfId="48" applyFont="1" applyBorder="1" applyAlignment="1">
      <alignment horizontal="center" vertical="center"/>
    </xf>
    <xf numFmtId="0" fontId="19" fillId="13" borderId="23" xfId="48" applyFont="1" applyFill="1" applyBorder="1" applyAlignment="1">
      <alignment horizontal="center" vertical="center"/>
    </xf>
    <xf numFmtId="0" fontId="19" fillId="13" borderId="25" xfId="48" applyFont="1" applyFill="1" applyBorder="1" applyAlignment="1">
      <alignment horizontal="center" vertical="center"/>
    </xf>
    <xf numFmtId="0" fontId="3" fillId="0" borderId="23" xfId="48" applyFont="1" applyBorder="1" applyAlignment="1">
      <alignment horizontal="center" vertical="center" wrapText="1"/>
    </xf>
    <xf numFmtId="0" fontId="3" fillId="0" borderId="25" xfId="48" applyFont="1" applyBorder="1" applyAlignment="1">
      <alignment horizontal="center" vertical="center" wrapText="1"/>
    </xf>
    <xf numFmtId="0" fontId="3" fillId="13" borderId="23" xfId="48" applyFont="1" applyFill="1" applyBorder="1" applyAlignment="1">
      <alignment horizontal="center" vertical="center" wrapText="1"/>
    </xf>
    <xf numFmtId="0" fontId="3" fillId="13" borderId="25" xfId="48" applyFont="1" applyFill="1" applyBorder="1" applyAlignment="1">
      <alignment horizontal="center" vertical="center" wrapText="1"/>
    </xf>
    <xf numFmtId="0" fontId="3" fillId="4" borderId="13" xfId="48" applyFont="1" applyFill="1" applyBorder="1" applyAlignment="1">
      <alignment horizontal="center" vertical="center" wrapText="1"/>
    </xf>
    <xf numFmtId="0" fontId="3" fillId="4" borderId="14" xfId="48" applyFont="1" applyFill="1" applyBorder="1" applyAlignment="1">
      <alignment horizontal="center" vertical="center" wrapText="1"/>
    </xf>
    <xf numFmtId="0" fontId="3" fillId="7" borderId="13" xfId="48" applyFont="1" applyFill="1" applyBorder="1" applyAlignment="1">
      <alignment horizontal="center" vertical="center" wrapText="1"/>
    </xf>
    <xf numFmtId="0" fontId="3" fillId="7" borderId="14" xfId="48" applyFont="1" applyFill="1" applyBorder="1" applyAlignment="1">
      <alignment horizontal="center" vertical="center" wrapText="1"/>
    </xf>
    <xf numFmtId="0" fontId="3" fillId="5" borderId="13" xfId="48" applyFont="1" applyFill="1" applyBorder="1" applyAlignment="1">
      <alignment horizontal="center" vertical="center"/>
    </xf>
    <xf numFmtId="0" fontId="3" fillId="5" borderId="14" xfId="48" applyFont="1" applyFill="1" applyBorder="1" applyAlignment="1">
      <alignment horizontal="center" vertical="center"/>
    </xf>
    <xf numFmtId="0" fontId="3" fillId="6" borderId="6" xfId="48" applyFont="1" applyFill="1" applyBorder="1" applyAlignment="1">
      <alignment horizontal="center" vertical="center"/>
    </xf>
    <xf numFmtId="0" fontId="3" fillId="6" borderId="15" xfId="48" applyFont="1" applyFill="1" applyBorder="1" applyAlignment="1">
      <alignment horizontal="center" vertical="center"/>
    </xf>
    <xf numFmtId="0" fontId="3" fillId="6" borderId="13" xfId="48" applyFont="1" applyFill="1" applyBorder="1" applyAlignment="1">
      <alignment horizontal="center" vertical="center"/>
    </xf>
    <xf numFmtId="0" fontId="3" fillId="6" borderId="14" xfId="48" applyFont="1" applyFill="1" applyBorder="1" applyAlignment="1">
      <alignment horizontal="center" vertical="center"/>
    </xf>
  </cellXfs>
  <cellStyles count="282">
    <cellStyle name="20% - Accent1 2" xfId="259" xr:uid="{74B5EA25-56EB-4292-91C6-F3C483621858}"/>
    <cellStyle name="20% - Accent2 2" xfId="263" xr:uid="{291B2484-A01D-487D-9658-0F11AE088319}"/>
    <cellStyle name="20% - Accent3 2" xfId="267" xr:uid="{55CA3D3C-9464-47C8-B892-3A2914632AB2}"/>
    <cellStyle name="20% - Accent4 2" xfId="271" xr:uid="{70040E0E-4967-42C3-9F85-2B8234EA434C}"/>
    <cellStyle name="20% - Accent5 2" xfId="275" xr:uid="{F1E50BE2-28F4-4E9D-B209-196BE7131DCE}"/>
    <cellStyle name="20% - Accent6 2" xfId="279" xr:uid="{2E5B41CD-B1A2-439B-8A4F-CD3C6F18B6BE}"/>
    <cellStyle name="40% - Accent1 2" xfId="260" xr:uid="{4E54500D-60A5-454C-AB1D-CF1058E8BF24}"/>
    <cellStyle name="40% - Accent2 2" xfId="264" xr:uid="{37CA55E1-0494-4FBA-BAB2-4D2F73A4A730}"/>
    <cellStyle name="40% - Accent3 2" xfId="268" xr:uid="{0F1DDB70-695D-467D-BF61-8708D8664FDC}"/>
    <cellStyle name="40% - Accent4 2" xfId="272" xr:uid="{11B9E2F0-EE6A-47F8-B221-C90322E5C2D2}"/>
    <cellStyle name="40% - Accent5 2" xfId="276" xr:uid="{789A77E1-564B-4C31-B4A2-D73E6AEBAC0A}"/>
    <cellStyle name="40% - Accent6 2" xfId="280" xr:uid="{3209A735-94AA-426F-A224-3462657699EE}"/>
    <cellStyle name="60% - Accent1 2" xfId="261" xr:uid="{E18B76A2-C9C6-4B7A-A011-C7BEC27EE795}"/>
    <cellStyle name="60% - Accent2 2" xfId="265" xr:uid="{3D38EF33-3CE5-4D74-AF52-844FFC22D67B}"/>
    <cellStyle name="60% - Accent3 2" xfId="269" xr:uid="{D131A190-1EC1-4719-A1B0-3633A78A175D}"/>
    <cellStyle name="60% - Accent4 2" xfId="273" xr:uid="{C228D820-0D70-4B2A-B3CB-1A955A224112}"/>
    <cellStyle name="60% - Accent5 2" xfId="277" xr:uid="{786D1F00-CB95-45C0-A9A4-40C0C6F7559A}"/>
    <cellStyle name="60% - Accent6 2" xfId="281" xr:uid="{9B456DE3-7C1D-44ED-B39C-D888F5F72BE3}"/>
    <cellStyle name="Accent1 2" xfId="258" xr:uid="{D92BC996-3361-4F6A-832D-3BB695F9EAA4}"/>
    <cellStyle name="Accent2 2" xfId="262" xr:uid="{89B8E185-9CEB-4828-B163-60DC1A9E9684}"/>
    <cellStyle name="Accent3 2" xfId="266" xr:uid="{D84A60E1-42D2-438D-9882-BE7727E4E5EE}"/>
    <cellStyle name="Accent4 2" xfId="270" xr:uid="{FB9C42D6-7824-444E-9133-1A548E431B0E}"/>
    <cellStyle name="Accent5 2" xfId="274" xr:uid="{93A85E23-FE99-4992-BCC4-EB318A703099}"/>
    <cellStyle name="Accent6 2" xfId="278" xr:uid="{3EF060A0-56CD-492D-AC44-7A68F5F2E5D2}"/>
    <cellStyle name="Bad 2" xfId="253" xr:uid="{EBB34A04-F4D5-4388-AD9D-45EC5811195F}"/>
    <cellStyle name="Calculation" xfId="245" builtinId="22" customBuiltin="1"/>
    <cellStyle name="Check Cell" xfId="247" builtinId="23" customBuiltin="1"/>
    <cellStyle name="Comma 4" xfId="45" xr:uid="{00000000-0005-0000-0000-000000000000}"/>
    <cellStyle name="Explanatory Text 2" xfId="257" xr:uid="{8B5F1F18-70D9-40EB-AC03-EE63D4B63414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Good 2" xfId="252" xr:uid="{3DB6D83A-B621-4F87-9C47-40005919494E}"/>
    <cellStyle name="Heading 1" xfId="240" builtinId="16" customBuiltin="1"/>
    <cellStyle name="Heading 2" xfId="241" builtinId="17" customBuiltin="1"/>
    <cellStyle name="Heading 3" xfId="242" builtinId="18" customBuiltin="1"/>
    <cellStyle name="Heading 4 2" xfId="251" xr:uid="{52390418-BBEB-423D-B2C4-5F00C170F8DA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Input" xfId="243" builtinId="20" customBuiltin="1"/>
    <cellStyle name="Linked Cell" xfId="246" builtinId="24" customBuiltin="1"/>
    <cellStyle name="Neutral 2" xfId="254" xr:uid="{E2B29CC0-3DF3-4351-B417-F1C93FBA9903}"/>
    <cellStyle name="Normal" xfId="0" builtinId="0"/>
    <cellStyle name="Normal 2" xfId="47" xr:uid="{00000000-0005-0000-0000-0000EA000000}"/>
    <cellStyle name="Normal 3" xfId="48" xr:uid="{00000000-0005-0000-0000-0000EB000000}"/>
    <cellStyle name="Normal 4" xfId="44" xr:uid="{00000000-0005-0000-0000-0000EC000000}"/>
    <cellStyle name="Normal 5" xfId="249" xr:uid="{12459033-2230-4CA6-9CB2-59E50FE60146}"/>
    <cellStyle name="Note 2" xfId="256" xr:uid="{7DB1CD3D-4ED7-4FC1-A189-1EAF52150D0A}"/>
    <cellStyle name="Output" xfId="244" builtinId="21" customBuiltin="1"/>
    <cellStyle name="Percent" xfId="1" builtinId="5"/>
    <cellStyle name="Percent 2" xfId="46" xr:uid="{00000000-0005-0000-0000-0000EE000000}"/>
    <cellStyle name="Percent 3" xfId="49" xr:uid="{00000000-0005-0000-0000-0000EF000000}"/>
    <cellStyle name="Title 2" xfId="250" xr:uid="{CCF3D03D-AFA3-44D7-A16E-BE07915D2515}"/>
    <cellStyle name="Total" xfId="248" builtinId="25" customBuiltin="1"/>
    <cellStyle name="Warning Text 2" xfId="255" xr:uid="{9C3D846C-E8EC-4443-AB54-CF55E85E4EAF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min Resonate" id="{30E1CAEC-4B0C-4746-A8BB-3A9B2103376C}" userId="b5035a32c91f9d8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15T10:14:34.06" personId="{30E1CAEC-4B0C-4746-A8BB-3A9B2103376C}" id="{449F2B9B-A9FC-4165-8F14-357048AAF3A0}">
    <text>2021 (2,462 participants), 1016 (First semester of 2022)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66"/>
  <sheetViews>
    <sheetView workbookViewId="0">
      <selection activeCell="C17" sqref="C17"/>
    </sheetView>
  </sheetViews>
  <sheetFormatPr defaultColWidth="11" defaultRowHeight="13.8"/>
  <cols>
    <col min="3" max="3" width="34.69921875" customWidth="1"/>
  </cols>
  <sheetData>
    <row r="2" spans="2:14" ht="25.8">
      <c r="B2" s="148"/>
    </row>
    <row r="3" spans="2:14" ht="62.4">
      <c r="B3" s="4"/>
      <c r="C3" s="149" t="s">
        <v>6</v>
      </c>
      <c r="F3" s="5"/>
      <c r="G3" s="5"/>
      <c r="H3" s="5"/>
    </row>
    <row r="4" spans="2:14" ht="14.4">
      <c r="B4" s="6"/>
    </row>
    <row r="5" spans="2:14" ht="14.4">
      <c r="B5" s="7"/>
      <c r="C5" s="5"/>
      <c r="D5" s="5"/>
      <c r="E5" s="5"/>
      <c r="F5" s="5"/>
      <c r="G5" s="5"/>
      <c r="H5" s="5"/>
    </row>
    <row r="6" spans="2:14" ht="14.4">
      <c r="B6" s="8" t="s">
        <v>7</v>
      </c>
      <c r="C6" s="9" t="s">
        <v>8</v>
      </c>
      <c r="D6" s="10"/>
      <c r="E6" s="10"/>
      <c r="F6" s="10"/>
      <c r="G6" s="10"/>
      <c r="H6" s="10"/>
      <c r="I6" s="11"/>
      <c r="J6" s="11"/>
      <c r="K6" s="11"/>
      <c r="L6" s="11"/>
    </row>
    <row r="7" spans="2:14" ht="14.4">
      <c r="B7" s="8"/>
    </row>
    <row r="8" spans="2:14" ht="14.4">
      <c r="B8" s="8"/>
    </row>
    <row r="9" spans="2:14" ht="14.4">
      <c r="B9" s="8" t="s">
        <v>9</v>
      </c>
      <c r="C9" s="12" t="s">
        <v>10</v>
      </c>
      <c r="D9" s="13"/>
      <c r="E9" s="13"/>
      <c r="F9" s="13"/>
      <c r="G9" s="13"/>
      <c r="H9" s="147"/>
    </row>
    <row r="10" spans="2:14" ht="14.4">
      <c r="B10" s="8"/>
      <c r="C10" s="12" t="s">
        <v>11</v>
      </c>
      <c r="E10" s="14"/>
      <c r="F10" s="14"/>
      <c r="G10" s="14"/>
      <c r="H10" s="147" t="s">
        <v>12</v>
      </c>
    </row>
    <row r="11" spans="2:14" ht="14.4">
      <c r="B11" s="8"/>
      <c r="C11" s="12" t="s">
        <v>13</v>
      </c>
      <c r="D11" s="15"/>
      <c r="E11" s="15"/>
      <c r="F11" s="15"/>
      <c r="G11" s="15"/>
      <c r="H11" s="150" t="s">
        <v>14</v>
      </c>
    </row>
    <row r="12" spans="2:14" ht="14.4">
      <c r="B12" s="8"/>
      <c r="C12" s="12" t="s">
        <v>15</v>
      </c>
      <c r="D12" s="6"/>
      <c r="E12" s="14"/>
      <c r="F12" s="15"/>
      <c r="G12" s="15"/>
      <c r="H12" s="147" t="s">
        <v>16</v>
      </c>
    </row>
    <row r="13" spans="2:14" ht="14.4">
      <c r="B13" s="8"/>
      <c r="C13" s="12" t="s">
        <v>17</v>
      </c>
      <c r="D13" s="6"/>
      <c r="E13" s="15"/>
      <c r="F13" s="15"/>
      <c r="G13" s="15"/>
      <c r="H13" s="5"/>
    </row>
    <row r="14" spans="2:14" ht="14.4">
      <c r="B14" s="6"/>
      <c r="C14" s="12" t="s">
        <v>18</v>
      </c>
      <c r="D14" s="6"/>
      <c r="E14" s="14"/>
      <c r="F14" s="15"/>
      <c r="G14" s="15"/>
      <c r="I14" s="6"/>
      <c r="J14" s="6"/>
      <c r="K14" s="6"/>
      <c r="L14" s="6"/>
      <c r="M14" s="6"/>
      <c r="N14" s="6"/>
    </row>
    <row r="15" spans="2:14" ht="14.4">
      <c r="B15" s="6"/>
      <c r="C15" s="1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2:14" ht="14.4">
      <c r="B16" s="3" t="s">
        <v>19</v>
      </c>
      <c r="C16" s="16" t="s">
        <v>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3:14" ht="14.4">
      <c r="C17" s="6"/>
      <c r="D17" s="6"/>
      <c r="E17" s="6"/>
      <c r="F17" s="6"/>
      <c r="G17" s="6"/>
      <c r="H17" s="6"/>
      <c r="I17" s="17"/>
      <c r="J17" s="17"/>
      <c r="K17" s="6"/>
      <c r="L17" s="6"/>
      <c r="M17" s="6"/>
      <c r="N17" s="6"/>
    </row>
    <row r="18" spans="3:14" ht="14.4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3:14" ht="14.4">
      <c r="C19" s="6"/>
      <c r="E19" s="14"/>
      <c r="F19" s="14"/>
      <c r="G19" s="14"/>
      <c r="H19" s="14"/>
      <c r="I19" s="6"/>
      <c r="J19" s="6"/>
      <c r="K19" s="6"/>
      <c r="L19" s="6"/>
      <c r="M19" s="6"/>
      <c r="N19" s="6"/>
    </row>
    <row r="20" spans="3:14" ht="14.4">
      <c r="C20" s="6"/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</row>
    <row r="21" spans="3:14" ht="14.4">
      <c r="C21" s="6"/>
      <c r="D21" s="6"/>
      <c r="E21" s="14"/>
      <c r="F21" s="15"/>
      <c r="G21" s="15"/>
      <c r="H21" s="15"/>
      <c r="I21" s="6"/>
      <c r="J21" s="6"/>
      <c r="K21" s="6"/>
      <c r="L21" s="6"/>
      <c r="M21" s="6"/>
      <c r="N21" s="6"/>
    </row>
    <row r="22" spans="3:14" ht="14.4">
      <c r="C22" s="6"/>
      <c r="D22" s="6"/>
      <c r="E22" s="15"/>
      <c r="F22" s="15"/>
      <c r="G22" s="15"/>
      <c r="H22" s="15"/>
      <c r="I22" s="6"/>
      <c r="J22" s="6"/>
      <c r="K22" s="6"/>
      <c r="L22" s="6"/>
      <c r="M22" s="6"/>
      <c r="N22" s="6"/>
    </row>
    <row r="23" spans="3:14" ht="14.4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3:14" ht="14.4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3:14" ht="14.4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3:14" ht="14.4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14" ht="14.4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3:14" ht="14.4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3:14" ht="14.4">
      <c r="C29" s="6"/>
      <c r="E29" s="14"/>
      <c r="F29" s="14"/>
      <c r="G29" s="14"/>
      <c r="H29" s="14"/>
      <c r="I29" s="6"/>
      <c r="J29" s="6"/>
      <c r="K29" s="6"/>
      <c r="L29" s="6"/>
      <c r="M29" s="6"/>
      <c r="N29" s="6"/>
    </row>
    <row r="30" spans="3:14" ht="14.4">
      <c r="C30" s="6"/>
      <c r="D30" s="15"/>
      <c r="E30" s="15"/>
      <c r="F30" s="15"/>
      <c r="G30" s="15"/>
      <c r="H30" s="15"/>
      <c r="I30" s="6"/>
      <c r="J30" s="6"/>
      <c r="K30" s="6"/>
      <c r="L30" s="6"/>
      <c r="M30" s="6"/>
      <c r="N30" s="6"/>
    </row>
    <row r="31" spans="3:14" ht="14.4">
      <c r="C31" s="6"/>
      <c r="D31" s="6"/>
      <c r="E31" s="14"/>
      <c r="F31" s="15"/>
      <c r="G31" s="15"/>
      <c r="H31" s="15"/>
      <c r="I31" s="6"/>
      <c r="J31" s="6"/>
      <c r="K31" s="6"/>
      <c r="L31" s="6"/>
      <c r="M31" s="6"/>
      <c r="N31" s="6"/>
    </row>
    <row r="32" spans="3:14" ht="14.4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ht="14.4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3:14" ht="14.4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3:14" ht="14.4">
      <c r="C35" s="6"/>
      <c r="E35" s="14"/>
      <c r="F35" s="14"/>
      <c r="G35" s="14"/>
      <c r="H35" s="14"/>
      <c r="I35" s="6"/>
      <c r="J35" s="6"/>
      <c r="K35" s="6"/>
      <c r="L35" s="6"/>
      <c r="M35" s="6"/>
      <c r="N35" s="6"/>
    </row>
    <row r="36" spans="3:14" ht="14.4">
      <c r="C36" s="6"/>
      <c r="D36" s="15"/>
      <c r="E36" s="15"/>
      <c r="F36" s="15"/>
      <c r="G36" s="15"/>
      <c r="H36" s="15"/>
      <c r="I36" s="6"/>
      <c r="J36" s="6"/>
      <c r="K36" s="6"/>
      <c r="L36" s="6"/>
      <c r="M36" s="6"/>
      <c r="N36" s="6"/>
    </row>
    <row r="37" spans="3:14" ht="14.4">
      <c r="C37" s="6"/>
      <c r="D37" s="6"/>
      <c r="E37" s="14"/>
      <c r="F37" s="15"/>
      <c r="G37" s="15"/>
      <c r="H37" s="15"/>
      <c r="I37" s="6"/>
      <c r="J37" s="6"/>
      <c r="K37" s="6"/>
      <c r="L37" s="6"/>
      <c r="M37" s="6"/>
      <c r="N37" s="6"/>
    </row>
    <row r="38" spans="3:14" ht="14.4">
      <c r="C38" s="6"/>
      <c r="D38" s="6"/>
      <c r="E38" s="15"/>
      <c r="F38" s="15"/>
      <c r="G38" s="15"/>
      <c r="H38" s="15"/>
      <c r="I38" s="6"/>
      <c r="J38" s="6"/>
      <c r="K38" s="6"/>
      <c r="L38" s="6"/>
      <c r="M38" s="6"/>
      <c r="N38" s="6"/>
    </row>
    <row r="39" spans="3:14" ht="14.4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3:14" ht="14.4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3:14" ht="14.4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3:14" ht="14.4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3:14" ht="14.4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3:14" ht="14.4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3:14" ht="14.4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3:14" ht="14.4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3:14" ht="14.4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3:14" ht="14.4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3:14" ht="14.4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3:14" ht="14.4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3:14" ht="14.4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3:14" ht="14.4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3:14" ht="14.4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3:14" ht="14.4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3:14" ht="14.4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3:14" ht="14.4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3:14" ht="14.4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3:14" ht="14.4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3:14" ht="14.4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3:14" ht="14.4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3:14" ht="14.4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3:14" ht="14.4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3:14" ht="14.4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3:14" ht="14.4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3:14" ht="14.4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3:14" ht="14.4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F33"/>
  <sheetViews>
    <sheetView workbookViewId="0"/>
  </sheetViews>
  <sheetFormatPr defaultColWidth="11" defaultRowHeight="13.8"/>
  <sheetData>
    <row r="3" spans="2:6">
      <c r="C3" s="168">
        <f>'six months follow-up_in person'!H38</f>
        <v>0</v>
      </c>
      <c r="D3" s="13"/>
      <c r="E3" s="168">
        <f>'One year follow-up_inperson'!H19</f>
        <v>0</v>
      </c>
      <c r="F3" s="13"/>
    </row>
    <row r="4" spans="2:6">
      <c r="C4" t="s">
        <v>75</v>
      </c>
      <c r="D4" t="s">
        <v>76</v>
      </c>
    </row>
    <row r="5" spans="2:6">
      <c r="C5" s="13" t="s">
        <v>53</v>
      </c>
      <c r="D5" s="13"/>
      <c r="E5" s="13" t="s">
        <v>74</v>
      </c>
      <c r="F5" s="13"/>
    </row>
    <row r="6" spans="2:6">
      <c r="B6" s="63" t="s">
        <v>69</v>
      </c>
      <c r="C6" s="63"/>
      <c r="D6" s="77" t="e">
        <f>C6/C3</f>
        <v>#DIV/0!</v>
      </c>
      <c r="E6" s="63"/>
      <c r="F6" s="63" t="e">
        <f>E6/E3</f>
        <v>#DIV/0!</v>
      </c>
    </row>
    <row r="7" spans="2:6">
      <c r="B7" s="63" t="s">
        <v>73</v>
      </c>
      <c r="C7" s="63"/>
      <c r="D7" s="77" t="e">
        <f>C7/C3</f>
        <v>#DIV/0!</v>
      </c>
      <c r="E7" s="63"/>
      <c r="F7" s="63" t="e">
        <f>E7/E3</f>
        <v>#DIV/0!</v>
      </c>
    </row>
    <row r="8" spans="2:6">
      <c r="B8" s="63" t="s">
        <v>70</v>
      </c>
      <c r="C8" s="63"/>
      <c r="D8" s="77" t="e">
        <f>C8/C3</f>
        <v>#DIV/0!</v>
      </c>
      <c r="E8" s="63"/>
      <c r="F8" s="63" t="e">
        <f>E8/E3</f>
        <v>#DIV/0!</v>
      </c>
    </row>
    <row r="26" spans="2:6">
      <c r="C26" s="168">
        <f>'six months follow-up_in person'!H38</f>
        <v>0</v>
      </c>
      <c r="D26" s="13"/>
      <c r="E26" s="168">
        <f>'One year follow-up_inperson'!H19</f>
        <v>0</v>
      </c>
      <c r="F26" s="13"/>
    </row>
    <row r="27" spans="2:6">
      <c r="C27" t="s">
        <v>75</v>
      </c>
      <c r="D27" t="s">
        <v>76</v>
      </c>
    </row>
    <row r="28" spans="2:6">
      <c r="C28" s="13" t="s">
        <v>53</v>
      </c>
      <c r="D28" s="13"/>
      <c r="E28" s="13" t="s">
        <v>74</v>
      </c>
      <c r="F28" s="13"/>
    </row>
    <row r="29" spans="2:6">
      <c r="B29" s="63" t="s">
        <v>77</v>
      </c>
      <c r="C29" s="63"/>
      <c r="D29" s="77" t="e">
        <f>C29/C26</f>
        <v>#DIV/0!</v>
      </c>
      <c r="E29" s="63"/>
      <c r="F29" s="63" t="e">
        <f>E29/E26</f>
        <v>#DIV/0!</v>
      </c>
    </row>
    <row r="30" spans="2:6">
      <c r="B30" s="63" t="s">
        <v>78</v>
      </c>
      <c r="C30" s="63"/>
      <c r="D30" s="77" t="e">
        <f>C30/C26</f>
        <v>#DIV/0!</v>
      </c>
      <c r="E30" s="63"/>
      <c r="F30" s="63" t="e">
        <f>E30/E26</f>
        <v>#DIV/0!</v>
      </c>
    </row>
    <row r="31" spans="2:6">
      <c r="B31" s="63" t="s">
        <v>79</v>
      </c>
      <c r="C31" s="63"/>
      <c r="D31" s="77" t="e">
        <f>C31/C26</f>
        <v>#DIV/0!</v>
      </c>
      <c r="E31" s="63"/>
      <c r="F31" s="63" t="e">
        <f>E31/E26</f>
        <v>#DIV/0!</v>
      </c>
    </row>
    <row r="32" spans="2:6">
      <c r="B32" s="63" t="s">
        <v>80</v>
      </c>
      <c r="C32" s="63"/>
      <c r="D32" s="77" t="e">
        <f>C32/C26</f>
        <v>#DIV/0!</v>
      </c>
      <c r="E32" s="63"/>
      <c r="F32" s="63" t="e">
        <f>E32/E26</f>
        <v>#DIV/0!</v>
      </c>
    </row>
    <row r="33" spans="2:6">
      <c r="B33" s="63" t="s">
        <v>81</v>
      </c>
      <c r="C33" s="63"/>
      <c r="D33" s="63" t="e">
        <f>C33/C26</f>
        <v>#DIV/0!</v>
      </c>
      <c r="E33" s="63"/>
      <c r="F33" s="63" t="e">
        <f>E33/E26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0"/>
  <sheetViews>
    <sheetView topLeftCell="A36" zoomScale="83" workbookViewId="0">
      <selection activeCell="G45" sqref="G45"/>
    </sheetView>
  </sheetViews>
  <sheetFormatPr defaultColWidth="11" defaultRowHeight="13.8"/>
  <cols>
    <col min="2" max="2" width="23.3984375" customWidth="1"/>
    <col min="3" max="3" width="11.19921875" customWidth="1"/>
    <col min="4" max="4" width="15.09765625" customWidth="1"/>
    <col min="5" max="5" width="18.09765625" customWidth="1"/>
    <col min="6" max="6" width="14.09765625" customWidth="1"/>
    <col min="9" max="9" width="13.3984375" customWidth="1"/>
    <col min="10" max="10" width="15.59765625" customWidth="1"/>
  </cols>
  <sheetData>
    <row r="1" spans="2:15" ht="16.2" thickBot="1">
      <c r="C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2:15" ht="28.8" thickBot="1">
      <c r="B2" s="427" t="s">
        <v>130</v>
      </c>
      <c r="C2" s="414">
        <f>2462+1016</f>
        <v>3478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2:15" ht="16.2" thickBot="1">
      <c r="B3" s="422"/>
      <c r="C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2:15" ht="16.2" thickBot="1">
      <c r="B4" s="428" t="s">
        <v>123</v>
      </c>
      <c r="C4" s="81" t="s">
        <v>136</v>
      </c>
      <c r="F4" s="81"/>
      <c r="G4" s="81"/>
      <c r="H4" s="81"/>
      <c r="I4" s="81"/>
      <c r="J4" s="81"/>
      <c r="K4" s="81"/>
      <c r="L4" s="81"/>
      <c r="M4" s="81"/>
      <c r="N4" s="81"/>
      <c r="O4" s="81"/>
    </row>
    <row r="5" spans="2:15" ht="15.6">
      <c r="B5" s="424" t="s">
        <v>82</v>
      </c>
      <c r="C5" s="429" t="e">
        <f>'six months follow-up_in person'!#REF!+'One year follow-up_inperson'!H19</f>
        <v>#REF!</v>
      </c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2:15" ht="15.6">
      <c r="B6" s="424" t="s">
        <v>91</v>
      </c>
      <c r="C6" s="413" t="e">
        <f>#REF!+'One year follow-up_Virtual'!G9</f>
        <v>#REF!</v>
      </c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2:15" ht="15.6">
      <c r="B7" s="423" t="s">
        <v>137</v>
      </c>
      <c r="C7" s="431" t="e">
        <f>SUM(C5:C6)</f>
        <v>#REF!</v>
      </c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2:15" ht="15.6">
      <c r="B8" s="423" t="s">
        <v>138</v>
      </c>
      <c r="C8" s="430">
        <f>' Analysis_Stats_in person'!AC12</f>
        <v>381</v>
      </c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2:15" ht="16.2" thickBot="1">
      <c r="B9" s="397"/>
      <c r="C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2:15" ht="16.2" thickBot="1">
      <c r="B10" s="426" t="s">
        <v>0</v>
      </c>
      <c r="C10" s="81" t="s">
        <v>136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2:15" ht="15.6">
      <c r="B11" s="425" t="s">
        <v>2</v>
      </c>
      <c r="C11" s="430" t="e">
        <f>'six months follow-up_in person'!G27+#REF!+'One year follow-up_inperson'!R2+'One year follow-up_Virtual'!L3</f>
        <v>#REF!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15" ht="15.6">
      <c r="B12" s="423" t="s">
        <v>4</v>
      </c>
      <c r="C12" s="430" t="e">
        <f>'six months follow-up_in person'!G28+#REF!+'One year follow-up_inperson'!R3</f>
        <v>#REF!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15" ht="15.6">
      <c r="B13" s="400"/>
      <c r="C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15" ht="15.6">
      <c r="B14" s="397"/>
      <c r="C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15" s="62" customFormat="1" ht="15" thickBot="1">
      <c r="B15" s="328"/>
      <c r="C15" s="321"/>
      <c r="D15" s="516" t="s">
        <v>124</v>
      </c>
      <c r="E15" s="516"/>
      <c r="F15" s="516"/>
      <c r="G15" s="321"/>
      <c r="H15" s="321"/>
      <c r="I15" s="321"/>
      <c r="J15" s="321"/>
      <c r="K15" s="321"/>
    </row>
    <row r="16" spans="2:15" s="62" customFormat="1" ht="21.6" thickBot="1">
      <c r="B16" s="6"/>
      <c r="C16" s="6"/>
      <c r="D16" s="517" t="s">
        <v>112</v>
      </c>
      <c r="E16" s="518"/>
      <c r="F16" s="519"/>
      <c r="G16" s="321"/>
      <c r="H16" s="321"/>
      <c r="I16" s="321"/>
      <c r="J16" s="321"/>
      <c r="K16" s="321"/>
    </row>
    <row r="17" spans="1:15" s="62" customFormat="1" ht="19.8" customHeight="1" thickBot="1">
      <c r="B17" s="490" t="s">
        <v>110</v>
      </c>
      <c r="C17" s="491"/>
      <c r="D17" s="266" t="s">
        <v>105</v>
      </c>
      <c r="E17" s="268" t="s">
        <v>107</v>
      </c>
      <c r="F17" s="266" t="s">
        <v>76</v>
      </c>
      <c r="G17" s="322"/>
      <c r="H17" s="323"/>
      <c r="I17" s="323"/>
      <c r="J17" s="323"/>
      <c r="K17" s="321"/>
    </row>
    <row r="18" spans="1:15" s="62" customFormat="1" ht="14.4">
      <c r="B18" s="492" t="s">
        <v>92</v>
      </c>
      <c r="C18" s="493"/>
      <c r="D18" s="269">
        <v>228</v>
      </c>
      <c r="E18" s="338">
        <f ca="1">' Analysis_Stats_in person'!AC7</f>
        <v>381</v>
      </c>
      <c r="F18" s="270">
        <f ca="1">D18/E18</f>
        <v>0.59842519685039375</v>
      </c>
      <c r="G18" s="340"/>
      <c r="H18" s="324"/>
      <c r="I18" s="324"/>
      <c r="J18" s="324"/>
      <c r="K18" s="321"/>
    </row>
    <row r="19" spans="1:15" s="62" customFormat="1" ht="14.4">
      <c r="B19" s="494" t="s">
        <v>93</v>
      </c>
      <c r="C19" s="495"/>
      <c r="D19" s="269">
        <v>43</v>
      </c>
      <c r="E19" s="269">
        <v>927</v>
      </c>
      <c r="F19" s="270">
        <f t="shared" ref="F19:F23" si="0">D19/E19</f>
        <v>4.6386192017259978E-2</v>
      </c>
      <c r="G19" s="340"/>
      <c r="H19" s="325"/>
      <c r="I19" s="326"/>
      <c r="J19" s="326"/>
      <c r="K19" s="329"/>
      <c r="L19" s="327"/>
      <c r="M19" s="327"/>
    </row>
    <row r="20" spans="1:15" s="62" customFormat="1" ht="14.4">
      <c r="B20" s="494" t="s">
        <v>94</v>
      </c>
      <c r="C20" s="495"/>
      <c r="D20" s="269">
        <v>9</v>
      </c>
      <c r="E20" s="269">
        <v>455</v>
      </c>
      <c r="F20" s="270">
        <f t="shared" si="0"/>
        <v>1.9780219780219779E-2</v>
      </c>
      <c r="G20" s="340"/>
      <c r="H20" s="325"/>
      <c r="I20" s="326"/>
      <c r="J20" s="326"/>
      <c r="K20" s="329"/>
      <c r="L20" s="327"/>
      <c r="M20" s="327"/>
    </row>
    <row r="21" spans="1:15" s="62" customFormat="1" ht="14.4">
      <c r="B21" s="494" t="s">
        <v>109</v>
      </c>
      <c r="C21" s="495"/>
      <c r="D21" s="269">
        <v>123</v>
      </c>
      <c r="E21" s="269">
        <v>1077</v>
      </c>
      <c r="F21" s="270">
        <f t="shared" si="0"/>
        <v>0.11420612813370473</v>
      </c>
      <c r="G21" s="340"/>
      <c r="H21" s="325"/>
      <c r="I21" s="326"/>
      <c r="J21" s="326"/>
      <c r="K21" s="329"/>
      <c r="L21" s="327"/>
      <c r="M21" s="327"/>
    </row>
    <row r="22" spans="1:15" s="62" customFormat="1" ht="14.4">
      <c r="B22" s="494" t="s">
        <v>108</v>
      </c>
      <c r="C22" s="495"/>
      <c r="D22" s="269">
        <v>880</v>
      </c>
      <c r="E22" s="269">
        <v>1077</v>
      </c>
      <c r="F22" s="270">
        <f t="shared" si="0"/>
        <v>0.81708449396471683</v>
      </c>
      <c r="G22" s="340"/>
      <c r="H22" s="325"/>
      <c r="I22" s="326"/>
      <c r="J22" s="326"/>
      <c r="K22" s="329"/>
      <c r="L22" s="327"/>
      <c r="M22" s="327"/>
    </row>
    <row r="23" spans="1:15" s="62" customFormat="1" ht="15" thickBot="1">
      <c r="B23" s="504" t="s">
        <v>30</v>
      </c>
      <c r="C23" s="505"/>
      <c r="D23" s="276">
        <v>899</v>
      </c>
      <c r="E23" s="276">
        <f>' Analysis_Stats_in person'!AC12</f>
        <v>381</v>
      </c>
      <c r="F23" s="278">
        <f t="shared" si="0"/>
        <v>2.3595800524934383</v>
      </c>
      <c r="G23" s="340"/>
      <c r="H23" s="330"/>
      <c r="I23" s="330"/>
      <c r="J23" s="330"/>
      <c r="K23" s="330"/>
    </row>
    <row r="24" spans="1:15" s="62" customFormat="1" ht="14.4">
      <c r="A24" s="145"/>
      <c r="B24" s="145"/>
      <c r="C24" s="145"/>
      <c r="D24" s="145"/>
      <c r="E24" s="144"/>
      <c r="F24" s="145"/>
      <c r="G24" s="145"/>
      <c r="H24" s="145"/>
      <c r="I24" s="145"/>
      <c r="J24" s="145"/>
      <c r="K24" s="145"/>
      <c r="L24" s="146"/>
      <c r="M24" s="146"/>
      <c r="N24" s="146"/>
      <c r="O24" s="146"/>
    </row>
    <row r="27" spans="1:15" ht="14.4" thickBot="1">
      <c r="D27" s="509" t="s">
        <v>82</v>
      </c>
      <c r="E27" s="509"/>
      <c r="F27" s="509"/>
      <c r="G27" s="509"/>
      <c r="H27" s="509"/>
      <c r="I27" s="509"/>
      <c r="J27" s="509"/>
      <c r="K27" s="509"/>
      <c r="L27" s="509"/>
      <c r="M27" s="522"/>
      <c r="N27" s="522"/>
      <c r="O27" s="522"/>
    </row>
    <row r="28" spans="1:15" ht="21.6" thickBot="1">
      <c r="B28" s="6"/>
      <c r="C28" s="6"/>
      <c r="D28" s="520" t="s">
        <v>88</v>
      </c>
      <c r="E28" s="521"/>
      <c r="F28" s="521"/>
      <c r="G28" s="528" t="s">
        <v>1</v>
      </c>
      <c r="H28" s="529"/>
      <c r="I28" s="529"/>
      <c r="J28" s="526" t="s">
        <v>89</v>
      </c>
      <c r="K28" s="527"/>
      <c r="L28" s="527"/>
      <c r="M28" s="530" t="s">
        <v>90</v>
      </c>
      <c r="N28" s="531"/>
      <c r="O28" s="532"/>
    </row>
    <row r="29" spans="1:15" ht="31.8" thickBot="1">
      <c r="B29" s="490" t="s">
        <v>110</v>
      </c>
      <c r="C29" s="491"/>
      <c r="D29" s="266" t="s">
        <v>105</v>
      </c>
      <c r="E29" s="268" t="s">
        <v>107</v>
      </c>
      <c r="F29" s="266" t="s">
        <v>76</v>
      </c>
      <c r="G29" s="265" t="s">
        <v>105</v>
      </c>
      <c r="H29" s="266" t="s">
        <v>107</v>
      </c>
      <c r="I29" s="267" t="s">
        <v>76</v>
      </c>
      <c r="J29" s="265" t="s">
        <v>105</v>
      </c>
      <c r="K29" s="266" t="s">
        <v>107</v>
      </c>
      <c r="L29" s="267" t="s">
        <v>76</v>
      </c>
      <c r="M29" s="265" t="s">
        <v>105</v>
      </c>
      <c r="N29" s="266" t="s">
        <v>107</v>
      </c>
      <c r="O29" s="267" t="s">
        <v>76</v>
      </c>
    </row>
    <row r="30" spans="1:15" ht="14.4">
      <c r="B30" s="492" t="s">
        <v>92</v>
      </c>
      <c r="C30" s="493"/>
      <c r="D30" s="269">
        <v>81</v>
      </c>
      <c r="E30" s="244">
        <v>366</v>
      </c>
      <c r="F30" s="270">
        <f>D30/E30</f>
        <v>0.22131147540983606</v>
      </c>
      <c r="G30" s="271">
        <v>100</v>
      </c>
      <c r="H30" s="272">
        <f>161-4</f>
        <v>157</v>
      </c>
      <c r="I30" s="270">
        <f>G30/H30</f>
        <v>0.63694267515923564</v>
      </c>
      <c r="J30" s="274">
        <v>20</v>
      </c>
      <c r="K30" s="275">
        <v>248</v>
      </c>
      <c r="L30" s="270">
        <f>J30/K30</f>
        <v>8.0645161290322578E-2</v>
      </c>
      <c r="M30" s="274">
        <v>10</v>
      </c>
      <c r="N30" s="275">
        <v>73</v>
      </c>
      <c r="O30" s="270">
        <f>M30/N30</f>
        <v>0.13698630136986301</v>
      </c>
    </row>
    <row r="31" spans="1:15" ht="14.4">
      <c r="B31" s="494" t="s">
        <v>93</v>
      </c>
      <c r="C31" s="495"/>
      <c r="D31" s="269">
        <v>12</v>
      </c>
      <c r="E31" s="244">
        <v>366</v>
      </c>
      <c r="F31" s="270">
        <f t="shared" ref="F31:F35" si="1">D31/E31</f>
        <v>3.2786885245901641E-2</v>
      </c>
      <c r="G31" s="271">
        <v>9</v>
      </c>
      <c r="H31" s="272">
        <f>161-41-4</f>
        <v>116</v>
      </c>
      <c r="I31" s="270">
        <f t="shared" ref="I31:I35" si="2">G31/H31</f>
        <v>7.7586206896551727E-2</v>
      </c>
      <c r="J31" s="274">
        <v>4</v>
      </c>
      <c r="K31" s="275">
        <v>195</v>
      </c>
      <c r="L31" s="270">
        <f t="shared" ref="L31:L35" si="3">J31/K31</f>
        <v>2.0512820512820513E-2</v>
      </c>
      <c r="M31" s="274">
        <v>6</v>
      </c>
      <c r="N31" s="275">
        <v>18</v>
      </c>
      <c r="O31" s="270">
        <f t="shared" ref="O31:O35" si="4">M31/N31</f>
        <v>0.33333333333333331</v>
      </c>
    </row>
    <row r="32" spans="1:15" ht="14.4">
      <c r="B32" s="494" t="s">
        <v>94</v>
      </c>
      <c r="C32" s="495"/>
      <c r="D32" s="269">
        <f>'One year follow-up_inperson'!Y5</f>
        <v>0</v>
      </c>
      <c r="E32" s="244">
        <v>366</v>
      </c>
      <c r="F32" s="270">
        <f t="shared" si="1"/>
        <v>0</v>
      </c>
      <c r="G32" s="271">
        <v>5</v>
      </c>
      <c r="H32" s="272">
        <v>40</v>
      </c>
      <c r="I32" s="270">
        <f t="shared" si="2"/>
        <v>0.125</v>
      </c>
      <c r="J32" s="274">
        <v>1</v>
      </c>
      <c r="K32" s="275">
        <v>144</v>
      </c>
      <c r="L32" s="270">
        <f t="shared" si="3"/>
        <v>6.9444444444444441E-3</v>
      </c>
      <c r="M32" s="274">
        <v>0</v>
      </c>
      <c r="N32" s="275">
        <v>13</v>
      </c>
      <c r="O32" s="270">
        <f t="shared" si="4"/>
        <v>0</v>
      </c>
    </row>
    <row r="33" spans="2:15" ht="14.4">
      <c r="B33" s="494" t="s">
        <v>109</v>
      </c>
      <c r="C33" s="495"/>
      <c r="D33" s="269">
        <v>36</v>
      </c>
      <c r="E33" s="244">
        <v>366</v>
      </c>
      <c r="F33" s="270">
        <f t="shared" si="1"/>
        <v>9.8360655737704916E-2</v>
      </c>
      <c r="G33" s="271">
        <v>74</v>
      </c>
      <c r="H33" s="272">
        <f>12+64+41+4+40</f>
        <v>161</v>
      </c>
      <c r="I33" s="270">
        <f t="shared" si="2"/>
        <v>0.45962732919254656</v>
      </c>
      <c r="J33" s="274">
        <v>2</v>
      </c>
      <c r="K33" s="275">
        <v>248</v>
      </c>
      <c r="L33" s="270">
        <f t="shared" si="3"/>
        <v>8.0645161290322578E-3</v>
      </c>
      <c r="M33" s="274">
        <f>'six months follow-up_in person'!S6</f>
        <v>0</v>
      </c>
      <c r="N33" s="275">
        <v>13</v>
      </c>
      <c r="O33" s="270">
        <f t="shared" si="4"/>
        <v>0</v>
      </c>
    </row>
    <row r="34" spans="2:15" ht="14.4">
      <c r="B34" s="494" t="s">
        <v>108</v>
      </c>
      <c r="C34" s="495"/>
      <c r="D34" s="269">
        <v>240</v>
      </c>
      <c r="E34" s="244">
        <v>366</v>
      </c>
      <c r="F34" s="270">
        <f t="shared" si="1"/>
        <v>0.65573770491803274</v>
      </c>
      <c r="G34" s="271">
        <v>279</v>
      </c>
      <c r="H34" s="272">
        <f>12+64+41+4+40</f>
        <v>161</v>
      </c>
      <c r="I34" s="270">
        <f t="shared" si="2"/>
        <v>1.7329192546583851</v>
      </c>
      <c r="J34" s="274">
        <v>205</v>
      </c>
      <c r="K34" s="275">
        <v>248</v>
      </c>
      <c r="L34" s="270">
        <f t="shared" si="3"/>
        <v>0.82661290322580649</v>
      </c>
      <c r="M34" s="274">
        <v>94</v>
      </c>
      <c r="N34" s="275">
        <v>99</v>
      </c>
      <c r="O34" s="270">
        <f t="shared" si="4"/>
        <v>0.9494949494949495</v>
      </c>
    </row>
    <row r="35" spans="2:15" ht="15" thickBot="1">
      <c r="B35" s="504" t="s">
        <v>30</v>
      </c>
      <c r="C35" s="505"/>
      <c r="D35" s="269">
        <v>245</v>
      </c>
      <c r="E35" s="277">
        <v>366</v>
      </c>
      <c r="F35" s="278">
        <f t="shared" si="1"/>
        <v>0.6693989071038251</v>
      </c>
      <c r="G35" s="271">
        <v>284</v>
      </c>
      <c r="H35" s="272">
        <f>12+64+41+4+40</f>
        <v>161</v>
      </c>
      <c r="I35" s="278">
        <f t="shared" si="2"/>
        <v>1.7639751552795031</v>
      </c>
      <c r="J35" s="274">
        <v>203</v>
      </c>
      <c r="K35" s="275">
        <v>248</v>
      </c>
      <c r="L35" s="278">
        <f t="shared" si="3"/>
        <v>0.81854838709677424</v>
      </c>
      <c r="M35" s="274">
        <v>97</v>
      </c>
      <c r="N35" s="275">
        <v>99</v>
      </c>
      <c r="O35" s="278">
        <f t="shared" si="4"/>
        <v>0.97979797979797978</v>
      </c>
    </row>
    <row r="36" spans="2:15" ht="180" customHeight="1" thickBot="1">
      <c r="B36" s="497" t="s">
        <v>113</v>
      </c>
      <c r="C36" s="498"/>
      <c r="D36" s="506" t="s">
        <v>147</v>
      </c>
      <c r="E36" s="507"/>
      <c r="F36" s="508"/>
      <c r="G36" s="506" t="s">
        <v>149</v>
      </c>
      <c r="H36" s="507"/>
      <c r="I36" s="508"/>
      <c r="J36" s="533"/>
      <c r="K36" s="507"/>
      <c r="L36" s="508"/>
      <c r="M36" s="533"/>
      <c r="N36" s="507"/>
      <c r="O36" s="508"/>
    </row>
    <row r="37" spans="2:15" ht="27" customHeight="1">
      <c r="B37" s="247"/>
      <c r="C37" s="247"/>
      <c r="D37" s="248"/>
      <c r="E37" s="244"/>
      <c r="F37" s="320"/>
      <c r="G37" s="243"/>
      <c r="H37" s="243"/>
      <c r="I37" s="320"/>
      <c r="J37" s="319"/>
      <c r="K37" s="248"/>
      <c r="L37" s="320"/>
      <c r="M37" s="319"/>
      <c r="N37" s="248"/>
      <c r="O37" s="320"/>
    </row>
    <row r="39" spans="2:15" ht="14.4" thickBot="1">
      <c r="D39" s="509" t="s">
        <v>91</v>
      </c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</row>
    <row r="40" spans="2:15" ht="21.6" thickBot="1">
      <c r="B40" s="6"/>
      <c r="C40" s="6"/>
      <c r="D40" s="520" t="s">
        <v>88</v>
      </c>
      <c r="E40" s="521"/>
      <c r="F40" s="521"/>
      <c r="G40" s="528" t="s">
        <v>1</v>
      </c>
      <c r="H40" s="529"/>
      <c r="I40" s="529"/>
      <c r="J40" s="526" t="s">
        <v>89</v>
      </c>
      <c r="K40" s="527"/>
      <c r="L40" s="527"/>
      <c r="M40" s="530" t="s">
        <v>90</v>
      </c>
      <c r="N40" s="531"/>
      <c r="O40" s="532"/>
    </row>
    <row r="41" spans="2:15" ht="31.8" thickBot="1">
      <c r="B41" s="490" t="s">
        <v>110</v>
      </c>
      <c r="C41" s="491"/>
      <c r="D41" s="266" t="s">
        <v>105</v>
      </c>
      <c r="E41" s="268" t="s">
        <v>107</v>
      </c>
      <c r="F41" s="266" t="s">
        <v>76</v>
      </c>
      <c r="G41" s="265" t="s">
        <v>105</v>
      </c>
      <c r="H41" s="266" t="s">
        <v>107</v>
      </c>
      <c r="I41" s="267" t="s">
        <v>76</v>
      </c>
      <c r="J41" s="265" t="s">
        <v>105</v>
      </c>
      <c r="K41" s="266" t="s">
        <v>107</v>
      </c>
      <c r="L41" s="267" t="s">
        <v>76</v>
      </c>
      <c r="M41" s="265" t="s">
        <v>105</v>
      </c>
      <c r="N41" s="266" t="s">
        <v>107</v>
      </c>
      <c r="O41" s="267" t="s">
        <v>76</v>
      </c>
    </row>
    <row r="42" spans="2:15" ht="14.4">
      <c r="B42" s="492" t="s">
        <v>92</v>
      </c>
      <c r="C42" s="493"/>
      <c r="D42" s="274">
        <v>0</v>
      </c>
      <c r="E42" s="275">
        <v>0</v>
      </c>
      <c r="F42" s="270" t="e">
        <f>D42/E42</f>
        <v>#DIV/0!</v>
      </c>
      <c r="G42" s="271">
        <v>0</v>
      </c>
      <c r="H42" s="272">
        <v>15</v>
      </c>
      <c r="I42" s="270">
        <f>G42/H42</f>
        <v>0</v>
      </c>
      <c r="J42" s="274">
        <v>2</v>
      </c>
      <c r="K42" s="275">
        <v>25</v>
      </c>
      <c r="L42" s="270">
        <f>J42/K42</f>
        <v>0.08</v>
      </c>
      <c r="M42" s="274">
        <v>0</v>
      </c>
      <c r="N42" s="275">
        <v>0</v>
      </c>
      <c r="O42" s="270" t="e">
        <f>M42/N42</f>
        <v>#DIV/0!</v>
      </c>
    </row>
    <row r="43" spans="2:15" ht="14.4">
      <c r="B43" s="494" t="s">
        <v>93</v>
      </c>
      <c r="C43" s="495"/>
      <c r="D43" s="274">
        <v>0</v>
      </c>
      <c r="E43" s="275">
        <v>0</v>
      </c>
      <c r="F43" s="270" t="e">
        <f t="shared" ref="F43:F47" si="5">D43/E43</f>
        <v>#DIV/0!</v>
      </c>
      <c r="G43" s="271">
        <v>1</v>
      </c>
      <c r="H43" s="269">
        <v>15</v>
      </c>
      <c r="I43" s="270">
        <f>G43/H43</f>
        <v>6.6666666666666666E-2</v>
      </c>
      <c r="J43" s="274">
        <v>1</v>
      </c>
      <c r="K43" s="275">
        <v>17</v>
      </c>
      <c r="L43" s="270">
        <f t="shared" ref="L43:L47" si="6">J43/K43</f>
        <v>5.8823529411764705E-2</v>
      </c>
      <c r="M43" s="274">
        <v>0</v>
      </c>
      <c r="N43" s="275">
        <v>0</v>
      </c>
      <c r="O43" s="270" t="e">
        <f t="shared" ref="O43:O47" si="7">M43/N43</f>
        <v>#DIV/0!</v>
      </c>
    </row>
    <row r="44" spans="2:15" ht="14.4">
      <c r="B44" s="494" t="s">
        <v>94</v>
      </c>
      <c r="C44" s="495"/>
      <c r="D44" s="274">
        <v>0</v>
      </c>
      <c r="E44" s="275">
        <v>0</v>
      </c>
      <c r="F44" s="270" t="e">
        <f t="shared" si="5"/>
        <v>#DIV/0!</v>
      </c>
      <c r="G44" s="271">
        <v>0</v>
      </c>
      <c r="H44" s="269">
        <v>15</v>
      </c>
      <c r="I44" s="270">
        <f t="shared" ref="I44:I47" si="8">G44/H44</f>
        <v>0</v>
      </c>
      <c r="J44" s="274">
        <v>0</v>
      </c>
      <c r="K44" s="275">
        <v>17</v>
      </c>
      <c r="L44" s="270">
        <f t="shared" si="6"/>
        <v>0</v>
      </c>
      <c r="M44" s="274">
        <v>0</v>
      </c>
      <c r="N44" s="275">
        <v>0</v>
      </c>
      <c r="O44" s="270" t="e">
        <f t="shared" si="7"/>
        <v>#DIV/0!</v>
      </c>
    </row>
    <row r="45" spans="2:15" ht="14.4">
      <c r="B45" s="494" t="s">
        <v>109</v>
      </c>
      <c r="C45" s="495"/>
      <c r="D45" s="274">
        <v>0</v>
      </c>
      <c r="E45" s="275">
        <v>0</v>
      </c>
      <c r="F45" s="270" t="e">
        <f t="shared" si="5"/>
        <v>#DIV/0!</v>
      </c>
      <c r="G45" s="271">
        <v>8</v>
      </c>
      <c r="H45" s="269">
        <v>15</v>
      </c>
      <c r="I45" s="270">
        <f t="shared" si="8"/>
        <v>0.53333333333333333</v>
      </c>
      <c r="J45" s="274" t="e">
        <f>#REF!</f>
        <v>#REF!</v>
      </c>
      <c r="K45" s="275">
        <v>25</v>
      </c>
      <c r="L45" s="270" t="e">
        <f t="shared" si="6"/>
        <v>#REF!</v>
      </c>
      <c r="M45" s="274">
        <v>0</v>
      </c>
      <c r="N45" s="275">
        <v>0</v>
      </c>
      <c r="O45" s="270" t="e">
        <f t="shared" si="7"/>
        <v>#DIV/0!</v>
      </c>
    </row>
    <row r="46" spans="2:15" ht="14.4">
      <c r="B46" s="494" t="s">
        <v>108</v>
      </c>
      <c r="C46" s="495"/>
      <c r="D46" s="274">
        <v>0</v>
      </c>
      <c r="E46" s="275">
        <v>0</v>
      </c>
      <c r="F46" s="270" t="e">
        <f t="shared" si="5"/>
        <v>#DIV/0!</v>
      </c>
      <c r="G46" s="271">
        <v>163</v>
      </c>
      <c r="H46" s="269">
        <v>15</v>
      </c>
      <c r="I46" s="270">
        <f t="shared" si="8"/>
        <v>10.866666666666667</v>
      </c>
      <c r="J46" s="274">
        <v>20</v>
      </c>
      <c r="K46" s="275">
        <v>25</v>
      </c>
      <c r="L46" s="270">
        <f t="shared" si="6"/>
        <v>0.8</v>
      </c>
      <c r="M46" s="274">
        <v>0</v>
      </c>
      <c r="N46" s="275">
        <v>0</v>
      </c>
      <c r="O46" s="270" t="e">
        <f t="shared" si="7"/>
        <v>#DIV/0!</v>
      </c>
    </row>
    <row r="47" spans="2:15" ht="15" thickBot="1">
      <c r="B47" s="504" t="s">
        <v>30</v>
      </c>
      <c r="C47" s="505"/>
      <c r="D47" s="274">
        <v>0</v>
      </c>
      <c r="E47" s="282">
        <v>0</v>
      </c>
      <c r="F47" s="278" t="e">
        <f t="shared" si="5"/>
        <v>#DIV/0!</v>
      </c>
      <c r="G47" s="271">
        <v>172</v>
      </c>
      <c r="H47" s="280">
        <v>15</v>
      </c>
      <c r="I47" s="278">
        <f t="shared" si="8"/>
        <v>11.466666666666667</v>
      </c>
      <c r="J47" s="274">
        <v>20</v>
      </c>
      <c r="K47" s="282">
        <v>25</v>
      </c>
      <c r="L47" s="278">
        <f t="shared" si="6"/>
        <v>0.8</v>
      </c>
      <c r="M47" s="274">
        <v>0</v>
      </c>
      <c r="N47" s="282">
        <v>0</v>
      </c>
      <c r="O47" s="278" t="e">
        <f t="shared" si="7"/>
        <v>#DIV/0!</v>
      </c>
    </row>
    <row r="48" spans="2:15" ht="124.2" customHeight="1" thickBot="1">
      <c r="B48" s="497" t="s">
        <v>113</v>
      </c>
      <c r="C48" s="498"/>
      <c r="D48" s="506" t="s">
        <v>145</v>
      </c>
      <c r="E48" s="507"/>
      <c r="F48" s="508"/>
      <c r="G48" s="510" t="s">
        <v>148</v>
      </c>
      <c r="H48" s="511"/>
      <c r="I48" s="512"/>
      <c r="J48" s="506"/>
      <c r="K48" s="507"/>
      <c r="L48" s="508"/>
      <c r="M48" s="513"/>
      <c r="N48" s="514"/>
      <c r="O48" s="515"/>
    </row>
    <row r="51" spans="1:8" s="62" customFormat="1">
      <c r="A51" s="334"/>
      <c r="B51" s="499"/>
      <c r="C51" s="500"/>
      <c r="D51" s="189"/>
      <c r="E51" s="189"/>
      <c r="F51" s="189"/>
      <c r="G51" s="189"/>
    </row>
    <row r="52" spans="1:8" s="62" customFormat="1" ht="15" thickBot="1">
      <c r="B52" s="501"/>
      <c r="C52" s="501"/>
      <c r="D52" s="335"/>
      <c r="E52" s="335"/>
      <c r="F52" s="331"/>
      <c r="G52" s="331"/>
    </row>
    <row r="53" spans="1:8" s="62" customFormat="1" ht="31.2" customHeight="1" thickBot="1">
      <c r="B53" s="523" t="s">
        <v>144</v>
      </c>
      <c r="C53" s="524"/>
      <c r="D53" s="524"/>
      <c r="E53" s="525"/>
      <c r="F53" s="331"/>
      <c r="G53" s="332"/>
    </row>
    <row r="54" spans="1:8" s="62" customFormat="1" ht="14.4">
      <c r="B54" s="336"/>
      <c r="C54" s="336"/>
      <c r="D54" s="332"/>
      <c r="E54" s="332"/>
      <c r="F54" s="331"/>
      <c r="G54" s="332"/>
    </row>
    <row r="55" spans="1:8" s="62" customFormat="1" ht="14.4">
      <c r="B55" s="332"/>
      <c r="C55" s="332"/>
      <c r="D55" s="332"/>
      <c r="E55" s="332"/>
      <c r="F55" s="331"/>
      <c r="G55" s="333"/>
    </row>
    <row r="56" spans="1:8" s="62" customFormat="1">
      <c r="B56" s="503"/>
      <c r="C56" s="503"/>
      <c r="D56" s="337"/>
      <c r="E56" s="335"/>
      <c r="F56" s="331"/>
      <c r="G56" s="331"/>
      <c r="H56" s="453"/>
    </row>
    <row r="57" spans="1:8" s="62" customFormat="1" ht="14.4">
      <c r="B57" s="502"/>
      <c r="C57" s="502"/>
      <c r="D57" s="332"/>
      <c r="E57" s="332"/>
      <c r="F57" s="331"/>
      <c r="G57" s="331"/>
    </row>
    <row r="58" spans="1:8" s="62" customFormat="1">
      <c r="B58" s="503"/>
      <c r="C58" s="503"/>
      <c r="D58" s="337"/>
      <c r="E58" s="337"/>
      <c r="F58" s="331"/>
      <c r="G58" s="331"/>
    </row>
    <row r="59" spans="1:8" s="62" customFormat="1">
      <c r="B59" s="503"/>
      <c r="C59" s="503"/>
      <c r="D59" s="337"/>
      <c r="E59" s="337"/>
      <c r="F59" s="331"/>
      <c r="G59" s="331"/>
    </row>
    <row r="60" spans="1:8" s="62" customFormat="1">
      <c r="B60" s="496"/>
      <c r="C60" s="496"/>
      <c r="D60" s="175"/>
      <c r="E60" s="187"/>
      <c r="F60" s="187"/>
      <c r="G60" s="248"/>
    </row>
  </sheetData>
  <mergeCells count="51">
    <mergeCell ref="J28:L28"/>
    <mergeCell ref="G28:I28"/>
    <mergeCell ref="M28:O28"/>
    <mergeCell ref="G40:I40"/>
    <mergeCell ref="J40:L40"/>
    <mergeCell ref="M40:O40"/>
    <mergeCell ref="G36:I36"/>
    <mergeCell ref="J36:L36"/>
    <mergeCell ref="M36:O36"/>
    <mergeCell ref="D15:F15"/>
    <mergeCell ref="D16:F16"/>
    <mergeCell ref="B59:C59"/>
    <mergeCell ref="D28:F28"/>
    <mergeCell ref="D40:F40"/>
    <mergeCell ref="B17:C17"/>
    <mergeCell ref="B18:C18"/>
    <mergeCell ref="B19:C19"/>
    <mergeCell ref="B20:C20"/>
    <mergeCell ref="B32:C32"/>
    <mergeCell ref="B21:C21"/>
    <mergeCell ref="B22:C22"/>
    <mergeCell ref="B23:C23"/>
    <mergeCell ref="B33:C33"/>
    <mergeCell ref="D27:O27"/>
    <mergeCell ref="B53:E53"/>
    <mergeCell ref="D36:F36"/>
    <mergeCell ref="B48:C48"/>
    <mergeCell ref="D48:F48"/>
    <mergeCell ref="B47:C47"/>
    <mergeCell ref="B41:C41"/>
    <mergeCell ref="B42:C42"/>
    <mergeCell ref="B43:C43"/>
    <mergeCell ref="B44:C44"/>
    <mergeCell ref="B45:C45"/>
    <mergeCell ref="B46:C46"/>
    <mergeCell ref="D39:O39"/>
    <mergeCell ref="G48:I48"/>
    <mergeCell ref="J48:L48"/>
    <mergeCell ref="M48:O48"/>
    <mergeCell ref="B29:C29"/>
    <mergeCell ref="B30:C30"/>
    <mergeCell ref="B31:C31"/>
    <mergeCell ref="B60:C60"/>
    <mergeCell ref="B36:C36"/>
    <mergeCell ref="B51:C51"/>
    <mergeCell ref="B52:C52"/>
    <mergeCell ref="B57:C57"/>
    <mergeCell ref="B56:C56"/>
    <mergeCell ref="B58:C58"/>
    <mergeCell ref="B34:C34"/>
    <mergeCell ref="B35:C35"/>
  </mergeCell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03"/>
  <sheetViews>
    <sheetView topLeftCell="A14" zoomScale="69" workbookViewId="0">
      <selection activeCell="D21" sqref="D21:D22"/>
    </sheetView>
  </sheetViews>
  <sheetFormatPr defaultColWidth="11" defaultRowHeight="13.8"/>
  <cols>
    <col min="2" max="2" width="17.296875" customWidth="1"/>
    <col min="3" max="3" width="28.5" style="172" customWidth="1"/>
    <col min="4" max="4" width="21.3984375" style="170" customWidth="1"/>
    <col min="5" max="5" width="16.09765625" customWidth="1"/>
    <col min="6" max="6" width="18.3984375" style="170" customWidth="1"/>
    <col min="7" max="7" width="46.796875" customWidth="1"/>
    <col min="17" max="17" width="28.296875" customWidth="1"/>
    <col min="18" max="18" width="15.09765625" style="62" customWidth="1"/>
    <col min="19" max="19" width="29.3984375" style="62" customWidth="1"/>
    <col min="20" max="20" width="2.69921875" style="62" customWidth="1"/>
    <col min="21" max="21" width="26.09765625" style="62" customWidth="1"/>
    <col min="22" max="23" width="11" style="62"/>
    <col min="24" max="24" width="24.59765625" style="62" customWidth="1"/>
    <col min="25" max="26" width="11" style="62"/>
    <col min="27" max="27" width="23.296875" style="62" customWidth="1"/>
    <col min="28" max="16384" width="11" style="62"/>
  </cols>
  <sheetData>
    <row r="1" spans="1:27" ht="41.4">
      <c r="A1" s="177" t="s">
        <v>100</v>
      </c>
      <c r="B1" s="174" t="s">
        <v>75</v>
      </c>
      <c r="C1" s="537" t="s">
        <v>71</v>
      </c>
      <c r="D1" s="538"/>
      <c r="E1" s="173" t="s">
        <v>57</v>
      </c>
      <c r="F1" s="184" t="s">
        <v>96</v>
      </c>
      <c r="G1" s="184" t="s">
        <v>98</v>
      </c>
      <c r="H1" s="184" t="s">
        <v>99</v>
      </c>
      <c r="I1" s="540" t="s">
        <v>97</v>
      </c>
      <c r="J1" s="540"/>
      <c r="K1" s="540"/>
      <c r="L1" s="540"/>
      <c r="M1" s="540"/>
      <c r="P1" s="64"/>
      <c r="Q1" s="404" t="s">
        <v>0</v>
      </c>
      <c r="R1" s="395"/>
    </row>
    <row r="2" spans="1:27" ht="15.6">
      <c r="A2" s="178">
        <v>0.6</v>
      </c>
      <c r="B2" s="173">
        <v>1</v>
      </c>
      <c r="C2" s="534"/>
      <c r="D2" s="535"/>
      <c r="E2" s="381"/>
      <c r="F2" s="381"/>
      <c r="G2" s="381"/>
      <c r="H2" s="262"/>
      <c r="I2" s="539"/>
      <c r="J2" s="539"/>
      <c r="K2" s="539"/>
      <c r="L2" s="539"/>
      <c r="M2" s="539"/>
      <c r="P2" s="64"/>
      <c r="Q2" s="423" t="s">
        <v>2</v>
      </c>
      <c r="R2" s="446" t="e">
        <f>COUNTIF(#REF!, "Female")</f>
        <v>#REF!</v>
      </c>
      <c r="U2" s="397"/>
      <c r="X2" s="397"/>
      <c r="AA2" s="397"/>
    </row>
    <row r="3" spans="1:27" ht="15.6">
      <c r="B3" s="173">
        <v>2</v>
      </c>
      <c r="C3" s="534"/>
      <c r="D3" s="535"/>
      <c r="E3" s="381"/>
      <c r="F3" s="381"/>
      <c r="G3" s="381"/>
      <c r="H3" s="352"/>
      <c r="I3" s="539"/>
      <c r="J3" s="539"/>
      <c r="K3" s="539"/>
      <c r="L3" s="539"/>
      <c r="M3" s="539"/>
      <c r="P3" s="64"/>
      <c r="Q3" s="423" t="s">
        <v>4</v>
      </c>
      <c r="R3" s="446" t="e">
        <f>COUNTIF(#REF!, "Male")</f>
        <v>#REF!</v>
      </c>
      <c r="U3" s="397"/>
    </row>
    <row r="4" spans="1:27" ht="15.6">
      <c r="B4" s="173">
        <v>3</v>
      </c>
      <c r="C4" s="534"/>
      <c r="D4" s="535"/>
      <c r="E4" s="381"/>
      <c r="F4" s="381"/>
      <c r="G4" s="381"/>
      <c r="H4" s="352"/>
      <c r="I4" s="539"/>
      <c r="J4" s="539"/>
      <c r="K4" s="539"/>
      <c r="L4" s="539"/>
      <c r="M4" s="539"/>
      <c r="P4" s="64"/>
      <c r="Q4" s="444" t="s">
        <v>87</v>
      </c>
      <c r="R4" s="446" t="e">
        <f>SUM(R2:R3)</f>
        <v>#REF!</v>
      </c>
      <c r="S4" s="445" t="e">
        <f>H19=R4</f>
        <v>#REF!</v>
      </c>
      <c r="U4" s="397"/>
    </row>
    <row r="5" spans="1:27" ht="15.6">
      <c r="B5" s="173">
        <v>4</v>
      </c>
      <c r="C5" s="534"/>
      <c r="D5" s="535"/>
      <c r="E5" s="381"/>
      <c r="F5" s="381"/>
      <c r="G5" s="379"/>
      <c r="H5" s="352"/>
      <c r="I5" s="539"/>
      <c r="J5" s="539"/>
      <c r="K5" s="539"/>
      <c r="L5" s="539"/>
      <c r="M5" s="539"/>
      <c r="P5" s="64"/>
      <c r="R5" s="447"/>
      <c r="U5" s="397"/>
    </row>
    <row r="6" spans="1:27" ht="15.6">
      <c r="B6" s="173">
        <v>5</v>
      </c>
      <c r="C6" s="534"/>
      <c r="D6" s="535"/>
      <c r="E6" s="383"/>
      <c r="F6" s="381"/>
      <c r="G6" s="381"/>
      <c r="H6" s="352"/>
      <c r="I6" s="539"/>
      <c r="J6" s="539"/>
      <c r="K6" s="539"/>
      <c r="L6" s="539"/>
      <c r="M6" s="539"/>
      <c r="P6" s="64"/>
      <c r="R6" s="447"/>
      <c r="U6" s="397"/>
    </row>
    <row r="7" spans="1:27" ht="15.6">
      <c r="B7" s="173">
        <v>6</v>
      </c>
      <c r="C7" s="536"/>
      <c r="D7" s="536"/>
      <c r="E7" s="383"/>
      <c r="F7" s="381"/>
      <c r="G7" s="381"/>
      <c r="H7" s="262"/>
      <c r="I7" s="539"/>
      <c r="J7" s="539"/>
      <c r="K7" s="539"/>
      <c r="L7" s="539"/>
      <c r="M7" s="539"/>
      <c r="P7" s="64"/>
      <c r="R7" s="447"/>
      <c r="U7" s="397"/>
    </row>
    <row r="8" spans="1:27" ht="15.6">
      <c r="B8" s="173">
        <v>7</v>
      </c>
      <c r="C8" s="536"/>
      <c r="D8" s="536"/>
      <c r="E8" s="383"/>
      <c r="F8" s="383"/>
      <c r="G8" s="383"/>
      <c r="H8" s="353"/>
      <c r="I8" s="539"/>
      <c r="J8" s="539"/>
      <c r="K8" s="539"/>
      <c r="L8" s="539"/>
      <c r="M8" s="539"/>
      <c r="P8" s="64"/>
      <c r="R8" s="447"/>
      <c r="U8" s="397"/>
    </row>
    <row r="9" spans="1:27" ht="15.6">
      <c r="B9" s="173">
        <v>8</v>
      </c>
      <c r="C9" s="534"/>
      <c r="D9" s="535"/>
      <c r="E9" s="383"/>
      <c r="F9" s="383"/>
      <c r="G9" s="381"/>
      <c r="H9" s="353"/>
      <c r="I9" s="539"/>
      <c r="J9" s="539"/>
      <c r="K9" s="539"/>
      <c r="L9" s="539"/>
      <c r="M9" s="539"/>
      <c r="P9" s="64"/>
      <c r="R9" s="447"/>
      <c r="U9" s="397"/>
      <c r="V9" s="398"/>
      <c r="X9" s="397"/>
      <c r="Y9" s="398"/>
    </row>
    <row r="10" spans="1:27" ht="15.6">
      <c r="B10" s="173">
        <v>9</v>
      </c>
      <c r="C10" s="534"/>
      <c r="D10" s="535"/>
      <c r="E10" s="383"/>
      <c r="F10" s="383"/>
      <c r="G10" s="381"/>
      <c r="H10" s="353"/>
      <c r="I10" s="262"/>
      <c r="J10" s="262"/>
      <c r="K10" s="262"/>
      <c r="L10" s="262"/>
      <c r="M10" s="262"/>
      <c r="P10" s="64"/>
      <c r="R10" s="447"/>
      <c r="U10" s="397"/>
      <c r="V10" s="398"/>
      <c r="X10" s="397"/>
      <c r="Y10" s="398"/>
    </row>
    <row r="11" spans="1:27" ht="15.6">
      <c r="B11" s="173">
        <v>10</v>
      </c>
      <c r="C11" s="534"/>
      <c r="D11" s="535"/>
      <c r="E11" s="383"/>
      <c r="F11" s="383"/>
      <c r="G11" s="381"/>
      <c r="H11" s="353"/>
      <c r="I11" s="262"/>
      <c r="J11" s="262"/>
      <c r="K11" s="262"/>
      <c r="L11" s="262"/>
      <c r="M11" s="262"/>
      <c r="P11" s="64"/>
      <c r="R11" s="447"/>
      <c r="U11" s="397"/>
      <c r="V11" s="398"/>
      <c r="X11" s="397"/>
      <c r="Y11" s="398"/>
    </row>
    <row r="12" spans="1:27" ht="15.6">
      <c r="B12" s="173">
        <v>11</v>
      </c>
      <c r="C12" s="534"/>
      <c r="D12" s="535"/>
      <c r="E12" s="383"/>
      <c r="F12" s="383"/>
      <c r="G12" s="379"/>
      <c r="H12" s="353"/>
      <c r="I12" s="262"/>
      <c r="J12" s="262"/>
      <c r="K12" s="262"/>
      <c r="L12" s="262"/>
      <c r="M12" s="262"/>
      <c r="P12" s="64"/>
      <c r="R12" s="447"/>
      <c r="U12" s="397"/>
      <c r="V12" s="398"/>
      <c r="X12" s="397"/>
      <c r="Y12" s="398"/>
    </row>
    <row r="13" spans="1:27" ht="15.6">
      <c r="B13" s="180"/>
      <c r="C13" s="408"/>
      <c r="D13" s="408"/>
      <c r="E13" s="409"/>
      <c r="F13" s="409"/>
      <c r="G13" s="410"/>
      <c r="H13" s="411"/>
      <c r="I13" s="412"/>
      <c r="J13" s="412"/>
      <c r="K13" s="412"/>
      <c r="L13" s="412"/>
      <c r="M13" s="412"/>
      <c r="P13" s="64"/>
      <c r="R13" s="395"/>
      <c r="U13" s="397"/>
      <c r="V13" s="398"/>
      <c r="X13" s="397"/>
      <c r="Y13" s="398"/>
    </row>
    <row r="14" spans="1:27" ht="15.6">
      <c r="B14" s="180"/>
      <c r="C14" s="408"/>
      <c r="D14" s="408"/>
      <c r="E14" s="409"/>
      <c r="F14" s="409"/>
      <c r="G14" s="410"/>
      <c r="H14" s="411"/>
      <c r="I14" s="412"/>
      <c r="J14" s="412"/>
      <c r="K14" s="412"/>
      <c r="L14" s="412"/>
      <c r="M14" s="412"/>
      <c r="P14" s="64"/>
      <c r="R14" s="395"/>
      <c r="U14" s="397"/>
      <c r="V14" s="398"/>
      <c r="X14" s="397"/>
      <c r="Y14" s="398"/>
    </row>
    <row r="15" spans="1:27" ht="15.6">
      <c r="B15" s="180"/>
      <c r="C15" s="408"/>
      <c r="D15" s="408"/>
      <c r="E15" s="409"/>
      <c r="F15" s="409"/>
      <c r="G15" s="410"/>
      <c r="H15" s="411"/>
      <c r="I15" s="412"/>
      <c r="J15" s="412"/>
      <c r="K15" s="412"/>
      <c r="L15" s="412"/>
      <c r="M15" s="412"/>
      <c r="P15" s="64"/>
      <c r="R15" s="395"/>
      <c r="U15" s="397"/>
      <c r="V15" s="398"/>
      <c r="X15" s="397"/>
      <c r="Y15" s="398"/>
    </row>
    <row r="16" spans="1:27" ht="15.6">
      <c r="B16" s="180"/>
      <c r="C16" s="408"/>
      <c r="D16" s="408"/>
      <c r="E16" s="409"/>
      <c r="F16" s="409"/>
      <c r="G16" s="410"/>
      <c r="H16" s="411"/>
      <c r="I16" s="412"/>
      <c r="J16" s="412"/>
      <c r="K16" s="412"/>
      <c r="L16" s="412"/>
      <c r="M16" s="412"/>
      <c r="P16" s="64"/>
      <c r="R16" s="395"/>
      <c r="U16" s="397"/>
      <c r="V16" s="398"/>
      <c r="X16" s="397"/>
      <c r="Y16" s="398"/>
    </row>
    <row r="17" spans="1:26" ht="14.4">
      <c r="A17" s="22"/>
      <c r="B17" s="67"/>
      <c r="C17" s="171"/>
      <c r="D17" s="80"/>
      <c r="E17" s="68"/>
      <c r="F17" s="60"/>
      <c r="G17" s="154"/>
      <c r="H17" s="155"/>
      <c r="I17" s="155"/>
      <c r="J17" s="155"/>
      <c r="K17" s="155"/>
      <c r="L17" s="156"/>
      <c r="M17" s="22"/>
      <c r="N17" s="22"/>
      <c r="O17" s="22"/>
      <c r="P17" s="67"/>
      <c r="Q17" s="22"/>
      <c r="R17" s="396"/>
      <c r="S17" s="68"/>
      <c r="T17" s="68"/>
      <c r="U17" s="68"/>
      <c r="V17" s="68"/>
      <c r="W17" s="68"/>
      <c r="X17" s="68"/>
      <c r="Y17" s="68"/>
      <c r="Z17" s="68"/>
    </row>
    <row r="18" spans="1:26" ht="14.4">
      <c r="A18" s="22"/>
      <c r="B18" s="67"/>
      <c r="C18" s="171"/>
      <c r="D18" s="80"/>
      <c r="E18" s="68"/>
      <c r="F18" s="60"/>
      <c r="G18" s="70" t="s">
        <v>32</v>
      </c>
      <c r="H18" s="70"/>
      <c r="I18" s="70"/>
      <c r="J18" s="70"/>
      <c r="K18" s="70"/>
      <c r="L18" s="71"/>
      <c r="M18" s="22"/>
      <c r="N18" s="22"/>
      <c r="O18" s="22"/>
      <c r="P18" s="67"/>
      <c r="Q18" s="22"/>
      <c r="R18" s="396"/>
      <c r="S18" s="68"/>
      <c r="T18" s="68"/>
      <c r="U18" s="68"/>
      <c r="V18" s="68"/>
      <c r="W18" s="68"/>
      <c r="X18" s="68"/>
      <c r="Y18" s="68"/>
      <c r="Z18" s="68"/>
    </row>
    <row r="19" spans="1:26" ht="14.4">
      <c r="A19" s="22"/>
      <c r="B19" s="67"/>
      <c r="C19" s="171"/>
      <c r="D19" s="80"/>
      <c r="E19" s="68"/>
      <c r="F19" s="60"/>
      <c r="G19" s="72" t="s">
        <v>21</v>
      </c>
      <c r="H19" s="209">
        <f>SUM(G2:G15)</f>
        <v>0</v>
      </c>
      <c r="I19" s="183" t="e">
        <f>H19=#REF!</f>
        <v>#REF!</v>
      </c>
      <c r="J19" s="73"/>
      <c r="K19" s="73"/>
      <c r="L19" s="74"/>
      <c r="M19" s="22"/>
      <c r="N19" s="22"/>
      <c r="O19" s="22"/>
      <c r="P19" s="67"/>
      <c r="Q19" s="22"/>
      <c r="R19" s="396"/>
      <c r="S19" s="68"/>
      <c r="T19" s="68"/>
      <c r="U19" s="68"/>
      <c r="V19" s="68"/>
      <c r="W19" s="68"/>
      <c r="X19" s="68"/>
      <c r="Y19" s="68"/>
      <c r="Z19" s="68"/>
    </row>
    <row r="20" spans="1:26" ht="14.4">
      <c r="A20" s="22"/>
      <c r="B20" s="66"/>
      <c r="C20" s="171"/>
      <c r="D20" s="80"/>
      <c r="E20" s="68"/>
      <c r="F20" s="179"/>
      <c r="G20" s="75"/>
      <c r="H20" s="76"/>
      <c r="I20" s="76"/>
      <c r="J20" s="76"/>
      <c r="K20" s="76"/>
      <c r="L20" s="69"/>
      <c r="M20" s="22"/>
      <c r="N20" s="22"/>
      <c r="O20" s="22"/>
      <c r="P20" s="67"/>
      <c r="Q20" s="22"/>
      <c r="R20" s="396"/>
      <c r="S20" s="68"/>
      <c r="T20" s="68"/>
      <c r="U20" s="68"/>
      <c r="V20" s="68"/>
      <c r="W20" s="68"/>
      <c r="X20" s="68"/>
      <c r="Y20" s="68"/>
      <c r="Z20" s="68"/>
    </row>
    <row r="21" spans="1:26" s="399" customFormat="1" ht="240" customHeight="1">
      <c r="A21" s="543" t="s">
        <v>22</v>
      </c>
      <c r="B21" s="544" t="s">
        <v>23</v>
      </c>
      <c r="C21" s="541" t="s">
        <v>24</v>
      </c>
      <c r="D21" s="541" t="s">
        <v>0</v>
      </c>
      <c r="E21" s="541" t="s">
        <v>86</v>
      </c>
      <c r="F21" s="541" t="s">
        <v>25</v>
      </c>
      <c r="G21" s="391" t="s">
        <v>26</v>
      </c>
      <c r="H21" s="542" t="s">
        <v>72</v>
      </c>
      <c r="I21" s="542"/>
      <c r="J21" s="542"/>
      <c r="K21" s="542" t="s">
        <v>27</v>
      </c>
      <c r="L21" s="542"/>
      <c r="M21" s="542"/>
      <c r="N21" s="542"/>
      <c r="O21" s="542"/>
      <c r="P21" s="542" t="s">
        <v>30</v>
      </c>
      <c r="Q21" s="392" t="s">
        <v>33</v>
      </c>
      <c r="R21" s="542" t="s">
        <v>34</v>
      </c>
    </row>
    <row r="22" spans="1:26" s="399" customFormat="1" ht="81" customHeight="1">
      <c r="A22" s="543"/>
      <c r="B22" s="544"/>
      <c r="C22" s="541"/>
      <c r="D22" s="541"/>
      <c r="E22" s="541"/>
      <c r="F22" s="541"/>
      <c r="G22" s="391"/>
      <c r="H22" s="393" t="str">
        <f>'six months follow-up_in person'!J41</f>
        <v>Increase in self-awareness and confidence</v>
      </c>
      <c r="I22" s="393" t="str">
        <f>'six months follow-up_in person'!K41</f>
        <v xml:space="preserve">Increase in decision making power </v>
      </c>
      <c r="J22" s="393" t="str">
        <f>'six months follow-up_in person'!L41</f>
        <v xml:space="preserve">Increase in resilience </v>
      </c>
      <c r="K22" s="393" t="s">
        <v>85</v>
      </c>
      <c r="L22" s="393" t="str">
        <f>'six months follow-up_in person'!N41</f>
        <v>Started a Business</v>
      </c>
      <c r="M22" s="394" t="str">
        <f>'six months follow-up_in person'!O41</f>
        <v>Got a Job/Promotion</v>
      </c>
      <c r="N22" s="394" t="str">
        <f>'six months follow-up_in person'!P41</f>
        <v>Got an Academic Opportunity</v>
      </c>
      <c r="O22" s="394" t="str">
        <f>'six months follow-up_in person'!Q41</f>
        <v>Got a Leadership role</v>
      </c>
      <c r="P22" s="542"/>
      <c r="Q22" s="392"/>
      <c r="R22" s="542"/>
      <c r="S22" s="433" t="s">
        <v>139</v>
      </c>
    </row>
    <row r="23" spans="1:26" ht="14.4">
      <c r="B23" s="66"/>
      <c r="G23" s="56"/>
      <c r="H23" s="56"/>
      <c r="I23" s="56"/>
      <c r="J23" s="56"/>
      <c r="K23" s="56"/>
      <c r="Q23" s="22"/>
      <c r="R23" s="182"/>
    </row>
    <row r="24" spans="1:26" ht="14.4">
      <c r="B24" s="66"/>
      <c r="G24" s="56"/>
      <c r="H24" s="56"/>
      <c r="I24" s="56"/>
      <c r="J24" s="56"/>
      <c r="K24" s="56"/>
      <c r="Q24" s="22"/>
      <c r="R24" s="182"/>
    </row>
    <row r="25" spans="1:26" ht="14.4">
      <c r="B25" s="66"/>
      <c r="G25" s="56"/>
      <c r="H25" s="56"/>
      <c r="I25" s="56"/>
      <c r="J25" s="56"/>
      <c r="K25" s="56"/>
      <c r="Q25" s="22"/>
      <c r="R25" s="182"/>
    </row>
    <row r="26" spans="1:26" ht="14.4">
      <c r="B26" s="66"/>
      <c r="G26" s="56"/>
      <c r="H26" s="56"/>
      <c r="I26" s="56"/>
      <c r="J26" s="56"/>
      <c r="K26" s="56"/>
      <c r="Q26" s="22"/>
      <c r="R26" s="182"/>
    </row>
    <row r="27" spans="1:26" ht="14.4">
      <c r="B27" s="66"/>
      <c r="G27" s="56"/>
      <c r="H27" s="56"/>
      <c r="I27" s="56"/>
      <c r="J27" s="56"/>
      <c r="K27" s="56"/>
      <c r="Q27" s="22"/>
      <c r="R27" s="182"/>
    </row>
    <row r="28" spans="1:26" ht="14.4">
      <c r="B28" s="66"/>
      <c r="G28" s="56"/>
      <c r="H28" s="56"/>
      <c r="I28" s="56"/>
      <c r="J28" s="56"/>
      <c r="K28" s="56"/>
      <c r="Q28" s="22"/>
      <c r="R28" s="182"/>
    </row>
    <row r="29" spans="1:26" ht="14.4">
      <c r="B29" s="66"/>
      <c r="G29" s="56"/>
      <c r="H29" s="56"/>
      <c r="I29" s="56"/>
      <c r="J29" s="56"/>
      <c r="K29" s="56"/>
      <c r="Q29" s="22"/>
      <c r="R29" s="182"/>
    </row>
    <row r="30" spans="1:26" ht="14.4">
      <c r="B30" s="66"/>
      <c r="G30" s="56"/>
      <c r="H30" s="56"/>
      <c r="I30" s="56"/>
      <c r="J30" s="56"/>
      <c r="K30" s="56"/>
      <c r="Q30" s="22"/>
      <c r="R30" s="182"/>
    </row>
    <row r="31" spans="1:26" ht="14.4">
      <c r="B31" s="66"/>
      <c r="G31" s="56"/>
      <c r="H31" s="56"/>
      <c r="I31" s="56"/>
      <c r="J31" s="56"/>
      <c r="K31" s="56"/>
      <c r="Q31" s="22"/>
      <c r="R31" s="182"/>
    </row>
    <row r="32" spans="1:26" ht="14.4">
      <c r="B32" s="66"/>
      <c r="G32" s="56"/>
      <c r="H32" s="56"/>
      <c r="I32" s="56"/>
      <c r="J32" s="56"/>
      <c r="K32" s="56"/>
      <c r="Q32" s="22"/>
      <c r="R32" s="182"/>
    </row>
    <row r="33" spans="2:18" ht="14.4">
      <c r="B33" s="66"/>
      <c r="G33" s="56"/>
      <c r="H33" s="56"/>
      <c r="I33" s="56"/>
      <c r="J33" s="56"/>
      <c r="K33" s="56"/>
      <c r="Q33" s="22"/>
      <c r="R33" s="182"/>
    </row>
    <row r="34" spans="2:18" ht="14.4">
      <c r="B34" s="66"/>
      <c r="G34" s="56"/>
      <c r="H34" s="56"/>
      <c r="I34" s="56"/>
      <c r="J34" s="56"/>
      <c r="K34" s="56"/>
      <c r="Q34" s="22"/>
      <c r="R34" s="182"/>
    </row>
    <row r="35" spans="2:18" ht="14.4">
      <c r="B35" s="66"/>
      <c r="G35" s="56"/>
      <c r="H35" s="56"/>
      <c r="I35" s="56"/>
      <c r="J35" s="56"/>
      <c r="K35" s="56"/>
      <c r="Q35" s="22"/>
      <c r="R35" s="182"/>
    </row>
    <row r="36" spans="2:18" ht="14.4">
      <c r="B36" s="66"/>
      <c r="G36" s="56"/>
      <c r="H36" s="56"/>
      <c r="I36" s="56"/>
      <c r="J36" s="56"/>
      <c r="K36" s="56"/>
      <c r="Q36" s="22"/>
      <c r="R36" s="182"/>
    </row>
    <row r="37" spans="2:18" ht="14.4">
      <c r="B37" s="66"/>
      <c r="G37" s="56"/>
      <c r="H37" s="56"/>
      <c r="I37" s="56"/>
      <c r="J37" s="56"/>
      <c r="K37" s="56"/>
      <c r="Q37" s="22"/>
      <c r="R37" s="182"/>
    </row>
    <row r="38" spans="2:18" ht="14.4">
      <c r="B38" s="66"/>
      <c r="G38" s="56"/>
      <c r="H38" s="56"/>
      <c r="I38" s="56"/>
      <c r="J38" s="56"/>
      <c r="K38" s="56"/>
      <c r="Q38" s="22"/>
      <c r="R38" s="182"/>
    </row>
    <row r="39" spans="2:18" ht="14.4">
      <c r="B39" s="66"/>
      <c r="G39" s="56"/>
      <c r="H39" s="56"/>
      <c r="I39" s="56"/>
      <c r="J39" s="56"/>
      <c r="K39" s="56"/>
      <c r="Q39" s="22"/>
      <c r="R39" s="182"/>
    </row>
    <row r="40" spans="2:18" ht="14.4">
      <c r="B40" s="66"/>
      <c r="G40" s="56"/>
      <c r="H40" s="56"/>
      <c r="I40" s="56"/>
      <c r="J40" s="56"/>
      <c r="K40" s="56"/>
      <c r="Q40" s="22"/>
      <c r="R40" s="182"/>
    </row>
    <row r="41" spans="2:18" ht="14.4">
      <c r="B41" s="66"/>
      <c r="G41" s="56"/>
      <c r="H41" s="56"/>
      <c r="I41" s="56"/>
      <c r="J41" s="56"/>
      <c r="K41" s="56"/>
      <c r="Q41" s="22"/>
      <c r="R41" s="182"/>
    </row>
    <row r="42" spans="2:18" ht="14.4">
      <c r="B42" s="66"/>
      <c r="G42" s="56"/>
      <c r="H42" s="56"/>
      <c r="I42" s="56"/>
      <c r="J42" s="56"/>
      <c r="K42" s="56"/>
      <c r="Q42" s="22"/>
      <c r="R42" s="182"/>
    </row>
    <row r="43" spans="2:18" ht="14.4">
      <c r="B43" s="66"/>
      <c r="G43" s="56"/>
      <c r="H43" s="56"/>
      <c r="I43" s="56"/>
      <c r="J43" s="56"/>
      <c r="K43" s="56"/>
      <c r="Q43" s="22"/>
      <c r="R43" s="182"/>
    </row>
    <row r="44" spans="2:18" ht="14.4">
      <c r="B44" s="66"/>
      <c r="G44" s="56"/>
      <c r="H44" s="56"/>
      <c r="I44" s="56"/>
      <c r="J44" s="56"/>
      <c r="K44" s="56"/>
      <c r="Q44" s="22"/>
      <c r="R44" s="182"/>
    </row>
    <row r="45" spans="2:18" ht="14.4">
      <c r="B45" s="66"/>
      <c r="G45" s="56"/>
      <c r="H45" s="56"/>
      <c r="I45" s="56"/>
      <c r="J45" s="56"/>
      <c r="K45" s="56"/>
      <c r="Q45" s="22"/>
      <c r="R45" s="182"/>
    </row>
    <row r="46" spans="2:18" ht="14.4">
      <c r="B46" s="66"/>
      <c r="G46" s="56"/>
      <c r="H46" s="56"/>
      <c r="I46" s="56"/>
      <c r="J46" s="56"/>
      <c r="K46" s="56"/>
      <c r="Q46" s="22"/>
      <c r="R46" s="182"/>
    </row>
    <row r="47" spans="2:18" ht="14.4">
      <c r="B47" s="66"/>
      <c r="G47" s="56"/>
      <c r="H47" s="56"/>
      <c r="I47" s="56"/>
      <c r="J47" s="56"/>
      <c r="K47" s="56"/>
      <c r="Q47" s="22"/>
      <c r="R47" s="182"/>
    </row>
    <row r="48" spans="2:18" ht="14.4">
      <c r="B48" s="66"/>
      <c r="G48" s="56"/>
      <c r="H48" s="56"/>
      <c r="I48" s="56"/>
      <c r="J48" s="56"/>
      <c r="K48" s="56"/>
      <c r="Q48" s="22"/>
      <c r="R48" s="182"/>
    </row>
    <row r="49" spans="2:18" ht="14.4">
      <c r="B49" s="66"/>
      <c r="G49" s="56"/>
      <c r="H49" s="56"/>
      <c r="I49" s="56"/>
      <c r="J49" s="56"/>
      <c r="K49" s="56"/>
      <c r="Q49" s="22"/>
      <c r="R49" s="182"/>
    </row>
    <row r="50" spans="2:18" ht="14.4">
      <c r="B50" s="66"/>
      <c r="G50" s="56"/>
      <c r="H50" s="56"/>
      <c r="I50" s="56"/>
      <c r="J50" s="56"/>
      <c r="K50" s="56"/>
      <c r="Q50" s="22"/>
      <c r="R50" s="182"/>
    </row>
    <row r="51" spans="2:18" ht="14.4">
      <c r="B51" s="66"/>
      <c r="G51" s="56"/>
      <c r="H51" s="56"/>
      <c r="I51" s="56"/>
      <c r="J51" s="56"/>
      <c r="K51" s="56"/>
      <c r="Q51" s="22"/>
      <c r="R51" s="182"/>
    </row>
    <row r="52" spans="2:18" ht="14.4">
      <c r="B52" s="66"/>
      <c r="G52" s="56"/>
      <c r="H52" s="56"/>
      <c r="I52" s="56"/>
      <c r="J52" s="56"/>
      <c r="K52" s="56"/>
      <c r="Q52" s="22"/>
      <c r="R52" s="182"/>
    </row>
    <row r="53" spans="2:18" ht="14.4">
      <c r="B53" s="66"/>
      <c r="G53" s="56"/>
      <c r="H53" s="56"/>
      <c r="I53" s="56"/>
      <c r="J53" s="56"/>
      <c r="K53" s="56"/>
      <c r="Q53" s="22"/>
      <c r="R53" s="182"/>
    </row>
    <row r="54" spans="2:18" ht="14.4">
      <c r="B54" s="66"/>
      <c r="G54" s="56"/>
      <c r="H54" s="56"/>
      <c r="I54" s="56"/>
      <c r="J54" s="56"/>
      <c r="K54" s="56"/>
      <c r="Q54" s="22"/>
      <c r="R54" s="182"/>
    </row>
    <row r="55" spans="2:18" ht="14.4">
      <c r="B55" s="66"/>
      <c r="G55" s="56"/>
      <c r="H55" s="56"/>
      <c r="I55" s="56"/>
      <c r="J55" s="56"/>
      <c r="K55" s="56"/>
      <c r="Q55" s="22"/>
      <c r="R55" s="182"/>
    </row>
    <row r="56" spans="2:18" ht="14.4">
      <c r="B56" s="66"/>
      <c r="G56" s="56"/>
      <c r="H56" s="56"/>
      <c r="I56" s="56"/>
      <c r="J56" s="56"/>
      <c r="K56" s="56"/>
      <c r="Q56" s="22"/>
      <c r="R56" s="182"/>
    </row>
    <row r="57" spans="2:18" ht="14.4">
      <c r="B57" s="66"/>
      <c r="G57" s="56"/>
      <c r="H57" s="56"/>
      <c r="I57" s="56"/>
      <c r="J57" s="56"/>
      <c r="K57" s="56"/>
      <c r="Q57" s="22"/>
      <c r="R57" s="182"/>
    </row>
    <row r="58" spans="2:18" ht="14.4">
      <c r="B58" s="66"/>
      <c r="G58" s="56"/>
      <c r="H58" s="56"/>
      <c r="I58" s="56"/>
      <c r="J58" s="56"/>
      <c r="K58" s="56"/>
      <c r="Q58" s="22"/>
      <c r="R58" s="182"/>
    </row>
    <row r="59" spans="2:18" ht="14.4">
      <c r="B59" s="66"/>
      <c r="G59" s="56"/>
      <c r="H59" s="56"/>
      <c r="I59" s="56"/>
      <c r="J59" s="56"/>
      <c r="K59" s="56"/>
      <c r="Q59" s="22"/>
      <c r="R59" s="182"/>
    </row>
    <row r="60" spans="2:18" ht="14.4">
      <c r="B60" s="66"/>
      <c r="G60" s="56"/>
      <c r="H60" s="56"/>
      <c r="I60" s="56"/>
      <c r="J60" s="56"/>
      <c r="K60" s="56"/>
      <c r="Q60" s="22"/>
      <c r="R60" s="182"/>
    </row>
    <row r="61" spans="2:18" ht="14.4">
      <c r="B61" s="66"/>
      <c r="G61" s="56"/>
      <c r="H61" s="56"/>
      <c r="I61" s="56"/>
      <c r="J61" s="56"/>
      <c r="K61" s="56"/>
      <c r="Q61" s="22"/>
      <c r="R61" s="182"/>
    </row>
    <row r="62" spans="2:18" ht="14.4">
      <c r="B62" s="66"/>
      <c r="G62" s="56"/>
      <c r="H62" s="56"/>
      <c r="I62" s="56"/>
      <c r="J62" s="56"/>
      <c r="K62" s="56"/>
      <c r="Q62" s="22"/>
      <c r="R62" s="182"/>
    </row>
    <row r="63" spans="2:18" ht="14.4">
      <c r="B63" s="66"/>
      <c r="G63" s="56"/>
      <c r="H63" s="56"/>
      <c r="I63" s="56"/>
      <c r="J63" s="56"/>
      <c r="K63" s="56"/>
      <c r="Q63" s="22"/>
      <c r="R63" s="182"/>
    </row>
    <row r="64" spans="2:18" ht="14.4">
      <c r="B64" s="66"/>
      <c r="G64" s="56"/>
      <c r="H64" s="56"/>
      <c r="I64" s="56"/>
      <c r="J64" s="56"/>
      <c r="K64" s="56"/>
      <c r="Q64" s="22"/>
      <c r="R64" s="182"/>
    </row>
    <row r="65" spans="2:18" ht="14.4">
      <c r="B65" s="66"/>
      <c r="G65" s="56"/>
      <c r="H65" s="56"/>
      <c r="I65" s="56"/>
      <c r="J65" s="56"/>
      <c r="K65" s="56"/>
      <c r="Q65" s="22"/>
      <c r="R65" s="182"/>
    </row>
    <row r="66" spans="2:18" ht="14.4">
      <c r="B66" s="66"/>
      <c r="G66" s="56"/>
      <c r="H66" s="56"/>
      <c r="I66" s="56"/>
      <c r="J66" s="56"/>
      <c r="K66" s="56"/>
      <c r="Q66" s="22"/>
      <c r="R66" s="182"/>
    </row>
    <row r="67" spans="2:18" ht="14.4">
      <c r="B67" s="66"/>
      <c r="G67" s="56"/>
      <c r="H67" s="56"/>
      <c r="I67" s="56"/>
      <c r="J67" s="56"/>
      <c r="K67" s="56"/>
      <c r="Q67" s="22"/>
      <c r="R67" s="182"/>
    </row>
    <row r="68" spans="2:18" ht="14.4">
      <c r="B68" s="66"/>
      <c r="G68" s="56"/>
      <c r="H68" s="56"/>
      <c r="I68" s="56"/>
      <c r="J68" s="56"/>
      <c r="K68" s="56"/>
      <c r="Q68" s="22"/>
      <c r="R68" s="182"/>
    </row>
    <row r="69" spans="2:18" ht="14.4">
      <c r="B69" s="66"/>
      <c r="G69" s="56"/>
      <c r="H69" s="56"/>
      <c r="I69" s="56"/>
      <c r="J69" s="56"/>
      <c r="K69" s="56"/>
      <c r="Q69" s="22"/>
      <c r="R69" s="182"/>
    </row>
    <row r="70" spans="2:18" ht="14.4">
      <c r="B70" s="66"/>
      <c r="G70" s="56"/>
      <c r="H70" s="56"/>
      <c r="I70" s="56"/>
      <c r="J70" s="56"/>
      <c r="K70" s="56"/>
      <c r="Q70" s="22"/>
      <c r="R70" s="182"/>
    </row>
    <row r="71" spans="2:18" ht="14.4">
      <c r="B71" s="66"/>
      <c r="G71" s="56"/>
      <c r="H71" s="56"/>
      <c r="I71" s="56"/>
      <c r="J71" s="56"/>
      <c r="K71" s="56"/>
      <c r="Q71" s="22"/>
      <c r="R71" s="182"/>
    </row>
    <row r="72" spans="2:18" ht="14.4">
      <c r="B72" s="66"/>
      <c r="G72" s="56"/>
      <c r="H72" s="56"/>
      <c r="I72" s="56"/>
      <c r="J72" s="56"/>
      <c r="K72" s="56"/>
      <c r="Q72" s="22"/>
      <c r="R72" s="182"/>
    </row>
    <row r="73" spans="2:18" ht="14.4">
      <c r="B73" s="66"/>
      <c r="G73" s="56"/>
      <c r="H73" s="56"/>
      <c r="I73" s="56"/>
      <c r="J73" s="56"/>
      <c r="K73" s="56"/>
      <c r="Q73" s="22"/>
      <c r="R73" s="182"/>
    </row>
    <row r="74" spans="2:18" ht="14.4">
      <c r="B74" s="66"/>
      <c r="G74" s="56"/>
      <c r="H74" s="56"/>
      <c r="I74" s="56"/>
      <c r="J74" s="56"/>
      <c r="K74" s="56"/>
      <c r="Q74" s="22"/>
      <c r="R74" s="182"/>
    </row>
    <row r="75" spans="2:18" ht="14.4">
      <c r="B75" s="66"/>
      <c r="G75" s="56"/>
      <c r="H75" s="56"/>
      <c r="I75" s="56"/>
      <c r="J75" s="56"/>
      <c r="K75" s="56"/>
      <c r="Q75" s="22"/>
      <c r="R75" s="182"/>
    </row>
    <row r="76" spans="2:18" ht="14.4">
      <c r="B76" s="66"/>
      <c r="G76" s="56"/>
      <c r="H76" s="56"/>
      <c r="I76" s="56"/>
      <c r="J76" s="56"/>
      <c r="K76" s="56"/>
      <c r="Q76" s="22"/>
      <c r="R76" s="182"/>
    </row>
    <row r="77" spans="2:18" ht="14.4">
      <c r="B77" s="66"/>
      <c r="G77" s="56"/>
      <c r="H77" s="56"/>
      <c r="I77" s="56"/>
      <c r="J77" s="56"/>
      <c r="K77" s="56"/>
      <c r="Q77" s="22"/>
      <c r="R77" s="182"/>
    </row>
    <row r="78" spans="2:18" ht="14.4">
      <c r="B78" s="66"/>
      <c r="G78" s="56"/>
      <c r="H78" s="56"/>
      <c r="I78" s="56"/>
      <c r="J78" s="56"/>
      <c r="K78" s="56"/>
      <c r="Q78" s="22"/>
      <c r="R78" s="182"/>
    </row>
    <row r="79" spans="2:18" ht="14.4">
      <c r="B79" s="66"/>
      <c r="G79" s="56"/>
      <c r="H79" s="56"/>
      <c r="I79" s="56"/>
      <c r="J79" s="56"/>
      <c r="K79" s="56"/>
      <c r="Q79" s="22"/>
      <c r="R79" s="182"/>
    </row>
    <row r="80" spans="2:18" ht="14.4">
      <c r="B80" s="66"/>
      <c r="G80" s="56"/>
      <c r="H80" s="56"/>
      <c r="I80" s="56"/>
      <c r="J80" s="56"/>
      <c r="K80" s="56"/>
      <c r="Q80" s="22"/>
      <c r="R80" s="182"/>
    </row>
    <row r="81" spans="2:18" ht="14.4">
      <c r="B81" s="66"/>
      <c r="G81" s="56"/>
      <c r="H81" s="56"/>
      <c r="I81" s="56"/>
      <c r="J81" s="56"/>
      <c r="K81" s="56"/>
      <c r="Q81" s="22"/>
      <c r="R81" s="182"/>
    </row>
    <row r="82" spans="2:18" ht="14.4">
      <c r="B82" s="66"/>
      <c r="G82" s="56"/>
      <c r="H82" s="56"/>
      <c r="I82" s="56"/>
      <c r="J82" s="56"/>
      <c r="K82" s="56"/>
      <c r="Q82" s="22"/>
      <c r="R82" s="182"/>
    </row>
    <row r="83" spans="2:18" ht="14.4">
      <c r="B83" s="66"/>
      <c r="G83" s="56"/>
      <c r="H83" s="56"/>
      <c r="I83" s="56"/>
      <c r="J83" s="56"/>
      <c r="K83" s="56"/>
      <c r="Q83" s="22"/>
      <c r="R83" s="182"/>
    </row>
    <row r="84" spans="2:18" ht="14.4">
      <c r="B84" s="66"/>
      <c r="G84" s="56"/>
      <c r="H84" s="56"/>
      <c r="I84" s="56"/>
      <c r="J84" s="56"/>
      <c r="K84" s="56"/>
      <c r="Q84" s="22"/>
      <c r="R84" s="182"/>
    </row>
    <row r="85" spans="2:18" ht="14.4">
      <c r="B85" s="66"/>
      <c r="G85" s="56"/>
      <c r="H85" s="56"/>
      <c r="I85" s="56"/>
      <c r="J85" s="56"/>
      <c r="K85" s="56"/>
      <c r="Q85" s="22"/>
      <c r="R85" s="182"/>
    </row>
    <row r="86" spans="2:18" ht="14.4">
      <c r="B86" s="66"/>
      <c r="G86" s="56"/>
      <c r="H86" s="56"/>
      <c r="I86" s="56"/>
      <c r="J86" s="56"/>
      <c r="K86" s="56"/>
      <c r="Q86" s="22"/>
      <c r="R86" s="182"/>
    </row>
    <row r="87" spans="2:18" ht="14.4">
      <c r="B87" s="66"/>
      <c r="G87" s="56"/>
      <c r="H87" s="56"/>
      <c r="I87" s="56"/>
      <c r="J87" s="56"/>
      <c r="K87" s="56"/>
      <c r="Q87" s="22"/>
      <c r="R87" s="182"/>
    </row>
    <row r="88" spans="2:18" ht="14.4">
      <c r="B88" s="66"/>
      <c r="G88" s="56"/>
      <c r="H88" s="56"/>
      <c r="I88" s="56"/>
      <c r="J88" s="56"/>
      <c r="K88" s="56"/>
      <c r="Q88" s="22"/>
      <c r="R88" s="182"/>
    </row>
    <row r="89" spans="2:18" ht="14.4">
      <c r="B89" s="66"/>
      <c r="G89" s="56"/>
      <c r="H89" s="56"/>
      <c r="I89" s="56"/>
      <c r="J89" s="56"/>
      <c r="K89" s="56"/>
      <c r="Q89" s="22"/>
      <c r="R89" s="182"/>
    </row>
    <row r="90" spans="2:18" ht="14.4">
      <c r="B90" s="66"/>
      <c r="G90" s="56"/>
      <c r="H90" s="56"/>
      <c r="I90" s="56"/>
      <c r="J90" s="56"/>
      <c r="K90" s="56"/>
      <c r="Q90" s="22"/>
      <c r="R90" s="182"/>
    </row>
    <row r="91" spans="2:18" ht="14.4">
      <c r="B91" s="66"/>
      <c r="G91" s="56"/>
      <c r="H91" s="56"/>
      <c r="I91" s="56"/>
      <c r="J91" s="56"/>
      <c r="K91" s="56"/>
      <c r="Q91" s="22"/>
      <c r="R91" s="182"/>
    </row>
    <row r="92" spans="2:18" ht="14.4">
      <c r="B92" s="66"/>
      <c r="G92" s="56"/>
      <c r="H92" s="56"/>
      <c r="I92" s="56"/>
      <c r="J92" s="56"/>
      <c r="K92" s="56"/>
      <c r="Q92" s="22"/>
      <c r="R92" s="182"/>
    </row>
    <row r="93" spans="2:18" ht="14.4">
      <c r="B93" s="66"/>
      <c r="G93" s="56"/>
      <c r="H93" s="56"/>
      <c r="I93" s="56"/>
      <c r="J93" s="56"/>
      <c r="K93" s="56"/>
      <c r="Q93" s="22"/>
      <c r="R93" s="182"/>
    </row>
    <row r="94" spans="2:18" ht="14.4">
      <c r="B94" s="66"/>
      <c r="G94" s="56"/>
      <c r="H94" s="56"/>
      <c r="I94" s="56"/>
      <c r="J94" s="56"/>
      <c r="K94" s="56"/>
      <c r="Q94" s="22"/>
      <c r="R94" s="182"/>
    </row>
    <row r="95" spans="2:18" ht="14.4">
      <c r="B95" s="66"/>
      <c r="G95" s="56"/>
      <c r="H95" s="56"/>
      <c r="I95" s="56"/>
      <c r="J95" s="56"/>
      <c r="K95" s="56"/>
      <c r="Q95" s="22"/>
      <c r="R95" s="182"/>
    </row>
    <row r="96" spans="2:18" ht="14.4">
      <c r="B96" s="66"/>
      <c r="G96" s="56"/>
      <c r="H96" s="56"/>
      <c r="I96" s="56"/>
      <c r="J96" s="56"/>
      <c r="K96" s="56"/>
      <c r="Q96" s="22"/>
      <c r="R96" s="182"/>
    </row>
    <row r="97" spans="2:18" ht="14.4">
      <c r="B97" s="66"/>
      <c r="G97" s="56"/>
      <c r="H97" s="56"/>
      <c r="I97" s="56"/>
      <c r="J97" s="56"/>
      <c r="K97" s="56"/>
      <c r="Q97" s="22"/>
      <c r="R97" s="182"/>
    </row>
    <row r="98" spans="2:18" ht="14.4">
      <c r="B98" s="66"/>
      <c r="G98" s="56"/>
      <c r="H98" s="56"/>
      <c r="I98" s="56"/>
      <c r="J98" s="56"/>
      <c r="K98" s="56"/>
      <c r="Q98" s="22"/>
      <c r="R98" s="182"/>
    </row>
    <row r="99" spans="2:18" ht="14.4">
      <c r="B99" s="66"/>
      <c r="G99" s="56"/>
      <c r="H99" s="56"/>
      <c r="I99" s="56"/>
      <c r="J99" s="56"/>
      <c r="K99" s="56"/>
      <c r="Q99" s="22"/>
      <c r="R99" s="182"/>
    </row>
    <row r="100" spans="2:18" ht="14.4">
      <c r="B100" s="66"/>
      <c r="G100" s="56"/>
      <c r="H100" s="56"/>
      <c r="I100" s="56"/>
      <c r="J100" s="56"/>
      <c r="K100" s="56"/>
      <c r="Q100" s="22"/>
      <c r="R100" s="182"/>
    </row>
    <row r="101" spans="2:18" ht="14.4">
      <c r="B101" s="66"/>
      <c r="G101" s="56"/>
      <c r="H101" s="56"/>
      <c r="I101" s="56"/>
      <c r="J101" s="56"/>
      <c r="K101" s="56"/>
      <c r="Q101" s="22"/>
      <c r="R101" s="182"/>
    </row>
    <row r="102" spans="2:18" ht="14.4">
      <c r="B102" s="66"/>
      <c r="G102" s="56"/>
      <c r="H102" s="56"/>
      <c r="I102" s="56"/>
      <c r="J102" s="56"/>
      <c r="K102" s="56"/>
      <c r="Q102" s="22"/>
      <c r="R102" s="182"/>
    </row>
    <row r="103" spans="2:18" ht="14.4">
      <c r="B103" s="66"/>
      <c r="G103" s="56"/>
      <c r="H103" s="56"/>
      <c r="I103" s="56"/>
      <c r="J103" s="56"/>
      <c r="K103" s="56"/>
      <c r="Q103" s="22"/>
      <c r="R103" s="182"/>
    </row>
    <row r="104" spans="2:18" ht="14.4">
      <c r="B104" s="66"/>
      <c r="G104" s="56"/>
      <c r="H104" s="56"/>
      <c r="I104" s="56"/>
      <c r="J104" s="56"/>
      <c r="K104" s="56"/>
      <c r="Q104" s="22"/>
      <c r="R104" s="182"/>
    </row>
    <row r="105" spans="2:18" ht="14.4">
      <c r="B105" s="66"/>
      <c r="G105" s="56"/>
      <c r="H105" s="56"/>
      <c r="I105" s="56"/>
      <c r="J105" s="56"/>
      <c r="K105" s="56"/>
      <c r="Q105" s="22"/>
      <c r="R105" s="182"/>
    </row>
    <row r="106" spans="2:18" ht="14.4">
      <c r="B106" s="66"/>
      <c r="G106" s="56"/>
      <c r="H106" s="56"/>
      <c r="I106" s="56"/>
      <c r="J106" s="56"/>
      <c r="K106" s="56"/>
      <c r="Q106" s="22"/>
      <c r="R106" s="182"/>
    </row>
    <row r="107" spans="2:18" ht="14.4">
      <c r="B107" s="66"/>
      <c r="G107" s="56"/>
      <c r="H107" s="56"/>
      <c r="I107" s="56"/>
      <c r="J107" s="56"/>
      <c r="K107" s="56"/>
      <c r="Q107" s="22"/>
      <c r="R107" s="182"/>
    </row>
    <row r="108" spans="2:18" ht="14.4">
      <c r="B108" s="66"/>
      <c r="G108" s="56"/>
      <c r="H108" s="56"/>
      <c r="I108" s="56"/>
      <c r="J108" s="56"/>
      <c r="K108" s="56"/>
      <c r="Q108" s="22"/>
      <c r="R108" s="182"/>
    </row>
    <row r="109" spans="2:18" ht="14.4">
      <c r="B109" s="66"/>
      <c r="G109" s="56"/>
      <c r="H109" s="56"/>
      <c r="I109" s="56"/>
      <c r="J109" s="56"/>
      <c r="K109" s="56"/>
      <c r="Q109" s="22"/>
      <c r="R109" s="182"/>
    </row>
    <row r="110" spans="2:18" ht="14.4">
      <c r="B110" s="66"/>
      <c r="G110" s="56"/>
      <c r="H110" s="56"/>
      <c r="I110" s="56"/>
      <c r="J110" s="56"/>
      <c r="K110" s="56"/>
      <c r="Q110" s="22"/>
      <c r="R110" s="182"/>
    </row>
    <row r="111" spans="2:18" ht="14.4">
      <c r="B111" s="66"/>
      <c r="G111" s="56"/>
      <c r="H111" s="56"/>
      <c r="I111" s="56"/>
      <c r="J111" s="56"/>
      <c r="K111" s="56"/>
      <c r="Q111" s="22"/>
      <c r="R111" s="182"/>
    </row>
    <row r="112" spans="2:18" ht="14.4">
      <c r="B112" s="66"/>
      <c r="G112" s="56"/>
      <c r="H112" s="56"/>
      <c r="I112" s="56"/>
      <c r="J112" s="56"/>
      <c r="K112" s="56"/>
      <c r="Q112" s="22"/>
      <c r="R112" s="182"/>
    </row>
    <row r="113" spans="2:18" ht="14.4">
      <c r="B113" s="66"/>
      <c r="G113" s="56"/>
      <c r="H113" s="56"/>
      <c r="I113" s="56"/>
      <c r="J113" s="56"/>
      <c r="K113" s="56"/>
      <c r="Q113" s="22"/>
      <c r="R113" s="182"/>
    </row>
    <row r="114" spans="2:18" ht="14.4">
      <c r="B114" s="66"/>
      <c r="G114" s="56"/>
      <c r="H114" s="56"/>
      <c r="I114" s="56"/>
      <c r="J114" s="56"/>
      <c r="K114" s="56"/>
      <c r="Q114" s="22"/>
      <c r="R114" s="182"/>
    </row>
    <row r="115" spans="2:18" ht="14.4">
      <c r="B115" s="66"/>
      <c r="G115" s="56"/>
      <c r="H115" s="56"/>
      <c r="I115" s="56"/>
      <c r="J115" s="56"/>
      <c r="K115" s="56"/>
      <c r="Q115" s="22"/>
      <c r="R115" s="182"/>
    </row>
    <row r="116" spans="2:18" ht="14.4">
      <c r="B116" s="66"/>
      <c r="G116" s="56"/>
      <c r="H116" s="56"/>
      <c r="I116" s="56"/>
      <c r="J116" s="56"/>
      <c r="K116" s="56"/>
      <c r="Q116" s="22"/>
      <c r="R116" s="182"/>
    </row>
    <row r="117" spans="2:18" ht="14.4">
      <c r="B117" s="66"/>
      <c r="G117" s="56"/>
      <c r="H117" s="56"/>
      <c r="I117" s="56"/>
      <c r="J117" s="56"/>
      <c r="K117" s="56"/>
      <c r="Q117" s="22"/>
      <c r="R117" s="182"/>
    </row>
    <row r="118" spans="2:18" ht="14.4">
      <c r="B118" s="66"/>
      <c r="G118" s="56"/>
      <c r="H118" s="56"/>
      <c r="I118" s="56"/>
      <c r="J118" s="56"/>
      <c r="K118" s="56"/>
      <c r="Q118" s="22"/>
      <c r="R118" s="182"/>
    </row>
    <row r="119" spans="2:18" ht="14.4">
      <c r="B119" s="66"/>
      <c r="G119" s="56"/>
      <c r="H119" s="56"/>
      <c r="I119" s="56"/>
      <c r="J119" s="56"/>
      <c r="K119" s="56"/>
      <c r="Q119" s="22"/>
      <c r="R119" s="182"/>
    </row>
    <row r="120" spans="2:18" ht="14.4">
      <c r="B120" s="66"/>
      <c r="G120" s="56"/>
      <c r="H120" s="56"/>
      <c r="I120" s="56"/>
      <c r="J120" s="56"/>
      <c r="K120" s="56"/>
      <c r="Q120" s="22"/>
      <c r="R120" s="182"/>
    </row>
    <row r="121" spans="2:18" ht="14.4">
      <c r="B121" s="66"/>
      <c r="G121" s="56"/>
      <c r="H121" s="56"/>
      <c r="I121" s="56"/>
      <c r="J121" s="56"/>
      <c r="K121" s="56"/>
      <c r="Q121" s="22"/>
      <c r="R121" s="182"/>
    </row>
    <row r="122" spans="2:18" ht="14.4">
      <c r="B122" s="66"/>
      <c r="G122" s="56"/>
      <c r="H122" s="56"/>
      <c r="I122" s="56"/>
      <c r="J122" s="56"/>
      <c r="K122" s="56"/>
      <c r="Q122" s="22"/>
      <c r="R122" s="182"/>
    </row>
    <row r="123" spans="2:18" ht="14.4">
      <c r="B123" s="66"/>
      <c r="G123" s="56"/>
      <c r="H123" s="56"/>
      <c r="I123" s="56"/>
      <c r="J123" s="56"/>
      <c r="K123" s="56"/>
      <c r="Q123" s="22"/>
      <c r="R123" s="182"/>
    </row>
    <row r="124" spans="2:18" ht="14.4">
      <c r="B124" s="66"/>
      <c r="G124" s="56"/>
      <c r="H124" s="56"/>
      <c r="I124" s="56"/>
      <c r="J124" s="56"/>
      <c r="K124" s="56"/>
      <c r="Q124" s="22"/>
      <c r="R124" s="182"/>
    </row>
    <row r="125" spans="2:18" ht="14.4">
      <c r="B125" s="66"/>
      <c r="G125" s="56"/>
      <c r="H125" s="56"/>
      <c r="I125" s="56"/>
      <c r="J125" s="56"/>
      <c r="K125" s="56"/>
      <c r="Q125" s="22"/>
      <c r="R125" s="182"/>
    </row>
    <row r="126" spans="2:18" ht="14.4">
      <c r="B126" s="66"/>
      <c r="G126" s="56"/>
      <c r="H126" s="56"/>
      <c r="I126" s="56"/>
      <c r="J126" s="56"/>
      <c r="K126" s="56"/>
      <c r="Q126" s="22"/>
      <c r="R126" s="182"/>
    </row>
    <row r="127" spans="2:18" ht="14.4">
      <c r="B127" s="66"/>
      <c r="G127" s="56"/>
      <c r="H127" s="56"/>
      <c r="I127" s="56"/>
      <c r="J127" s="56"/>
      <c r="K127" s="56"/>
      <c r="Q127" s="22"/>
      <c r="R127" s="182"/>
    </row>
    <row r="128" spans="2:18" ht="14.4">
      <c r="B128" s="66"/>
      <c r="G128" s="56"/>
      <c r="H128" s="56"/>
      <c r="I128" s="56"/>
      <c r="J128" s="56"/>
      <c r="K128" s="56"/>
      <c r="Q128" s="22"/>
      <c r="R128" s="182"/>
    </row>
    <row r="129" spans="2:18" ht="14.4">
      <c r="B129" s="66"/>
      <c r="G129" s="56"/>
      <c r="H129" s="56"/>
      <c r="I129" s="56"/>
      <c r="J129" s="56"/>
      <c r="K129" s="56"/>
      <c r="Q129" s="22"/>
      <c r="R129" s="182"/>
    </row>
    <row r="130" spans="2:18" ht="14.4">
      <c r="B130" s="66"/>
      <c r="G130" s="56"/>
      <c r="H130" s="56"/>
      <c r="I130" s="56"/>
      <c r="J130" s="56"/>
      <c r="K130" s="56"/>
      <c r="Q130" s="22"/>
      <c r="R130" s="182"/>
    </row>
    <row r="131" spans="2:18" ht="14.4">
      <c r="B131" s="66"/>
      <c r="G131" s="56"/>
      <c r="H131" s="56"/>
      <c r="I131" s="56"/>
      <c r="J131" s="56"/>
      <c r="K131" s="56"/>
      <c r="Q131" s="22"/>
      <c r="R131" s="182"/>
    </row>
    <row r="132" spans="2:18" ht="14.4">
      <c r="B132" s="66"/>
      <c r="G132" s="56"/>
      <c r="H132" s="56"/>
      <c r="I132" s="56"/>
      <c r="J132" s="56"/>
      <c r="K132" s="56"/>
      <c r="Q132" s="22"/>
      <c r="R132" s="182"/>
    </row>
    <row r="133" spans="2:18" ht="14.4">
      <c r="B133" s="66"/>
      <c r="G133" s="56"/>
      <c r="H133" s="56"/>
      <c r="I133" s="56"/>
      <c r="J133" s="56"/>
      <c r="K133" s="56"/>
      <c r="Q133" s="22"/>
      <c r="R133" s="182"/>
    </row>
    <row r="134" spans="2:18" ht="14.4">
      <c r="B134" s="66"/>
      <c r="G134" s="56"/>
      <c r="H134" s="56"/>
      <c r="I134" s="56"/>
      <c r="J134" s="56"/>
      <c r="K134" s="56"/>
      <c r="Q134" s="22"/>
      <c r="R134" s="182"/>
    </row>
    <row r="135" spans="2:18" ht="14.4">
      <c r="B135" s="66"/>
      <c r="G135" s="56"/>
      <c r="H135" s="56"/>
      <c r="I135" s="56"/>
      <c r="J135" s="56"/>
      <c r="K135" s="56"/>
      <c r="Q135" s="22"/>
      <c r="R135" s="182"/>
    </row>
    <row r="136" spans="2:18" ht="14.4">
      <c r="B136" s="66"/>
      <c r="G136" s="56"/>
      <c r="H136" s="56"/>
      <c r="I136" s="56"/>
      <c r="J136" s="56"/>
      <c r="K136" s="56"/>
      <c r="Q136" s="22"/>
      <c r="R136" s="182"/>
    </row>
    <row r="137" spans="2:18" ht="14.4">
      <c r="B137" s="66"/>
      <c r="G137" s="56"/>
      <c r="H137" s="56"/>
      <c r="I137" s="56"/>
      <c r="J137" s="56"/>
      <c r="K137" s="56"/>
      <c r="Q137" s="22"/>
      <c r="R137" s="182"/>
    </row>
    <row r="138" spans="2:18" ht="14.4">
      <c r="B138" s="66"/>
      <c r="G138" s="56"/>
      <c r="H138" s="56"/>
      <c r="I138" s="56"/>
      <c r="J138" s="56"/>
      <c r="K138" s="56"/>
      <c r="Q138" s="22"/>
      <c r="R138" s="182"/>
    </row>
    <row r="139" spans="2:18" ht="14.4">
      <c r="B139" s="66"/>
      <c r="G139" s="56"/>
      <c r="H139" s="56"/>
      <c r="I139" s="56"/>
      <c r="J139" s="56"/>
      <c r="K139" s="56"/>
      <c r="Q139" s="22"/>
      <c r="R139" s="182"/>
    </row>
    <row r="140" spans="2:18" ht="14.4">
      <c r="B140" s="66"/>
      <c r="G140" s="56"/>
      <c r="H140" s="56"/>
      <c r="I140" s="56"/>
      <c r="J140" s="56"/>
      <c r="K140" s="56"/>
      <c r="Q140" s="22"/>
      <c r="R140" s="182"/>
    </row>
    <row r="141" spans="2:18" ht="14.4">
      <c r="B141" s="66"/>
      <c r="G141" s="56"/>
      <c r="H141" s="56"/>
      <c r="I141" s="56"/>
      <c r="J141" s="56"/>
      <c r="K141" s="56"/>
      <c r="Q141" s="22"/>
      <c r="R141" s="182"/>
    </row>
    <row r="142" spans="2:18" ht="14.4">
      <c r="B142" s="66"/>
      <c r="G142" s="56"/>
      <c r="H142" s="56"/>
      <c r="I142" s="56"/>
      <c r="J142" s="56"/>
      <c r="K142" s="56"/>
      <c r="Q142" s="22"/>
      <c r="R142" s="182"/>
    </row>
    <row r="143" spans="2:18" ht="14.4">
      <c r="B143" s="66"/>
      <c r="G143" s="56"/>
      <c r="H143" s="56"/>
      <c r="I143" s="56"/>
      <c r="J143" s="56"/>
      <c r="K143" s="56"/>
      <c r="Q143" s="22"/>
      <c r="R143" s="182"/>
    </row>
    <row r="144" spans="2:18" ht="14.4">
      <c r="B144" s="66"/>
      <c r="G144" s="56"/>
      <c r="H144" s="56"/>
      <c r="I144" s="56"/>
      <c r="J144" s="56"/>
      <c r="K144" s="56"/>
      <c r="Q144" s="22"/>
      <c r="R144" s="182"/>
    </row>
    <row r="145" spans="2:18" ht="14.4">
      <c r="B145" s="66"/>
      <c r="G145" s="56"/>
      <c r="H145" s="56"/>
      <c r="I145" s="56"/>
      <c r="J145" s="56"/>
      <c r="K145" s="56"/>
      <c r="Q145" s="22"/>
      <c r="R145" s="182"/>
    </row>
    <row r="146" spans="2:18" ht="14.4">
      <c r="B146" s="66"/>
      <c r="G146" s="56"/>
      <c r="H146" s="56"/>
      <c r="I146" s="56"/>
      <c r="J146" s="56"/>
      <c r="K146" s="56"/>
      <c r="Q146" s="22"/>
      <c r="R146" s="182"/>
    </row>
    <row r="147" spans="2:18" ht="14.4">
      <c r="B147" s="66"/>
      <c r="G147" s="56"/>
      <c r="H147" s="56"/>
      <c r="I147" s="56"/>
      <c r="J147" s="56"/>
      <c r="K147" s="56"/>
      <c r="Q147" s="22"/>
      <c r="R147" s="182"/>
    </row>
    <row r="148" spans="2:18" ht="14.4">
      <c r="B148" s="66"/>
      <c r="G148" s="56"/>
      <c r="H148" s="56"/>
      <c r="I148" s="56"/>
      <c r="J148" s="56"/>
      <c r="K148" s="56"/>
      <c r="Q148" s="22"/>
      <c r="R148" s="182"/>
    </row>
    <row r="149" spans="2:18" ht="14.4">
      <c r="B149" s="66"/>
      <c r="G149" s="56"/>
      <c r="H149" s="56"/>
      <c r="I149" s="56"/>
      <c r="J149" s="56"/>
      <c r="K149" s="56"/>
      <c r="Q149" s="22"/>
      <c r="R149" s="182"/>
    </row>
    <row r="150" spans="2:18" ht="14.4">
      <c r="B150" s="66"/>
      <c r="G150" s="56"/>
      <c r="H150" s="56"/>
      <c r="I150" s="56"/>
      <c r="J150" s="56"/>
      <c r="K150" s="56"/>
      <c r="Q150" s="22"/>
      <c r="R150" s="182"/>
    </row>
    <row r="151" spans="2:18" ht="14.4">
      <c r="B151" s="66"/>
      <c r="G151" s="56"/>
      <c r="H151" s="56"/>
      <c r="I151" s="56"/>
      <c r="J151" s="56"/>
      <c r="K151" s="56"/>
      <c r="Q151" s="22"/>
      <c r="R151" s="182"/>
    </row>
    <row r="152" spans="2:18" ht="14.4">
      <c r="B152" s="66"/>
      <c r="G152" s="56"/>
      <c r="H152" s="56"/>
      <c r="I152" s="56"/>
      <c r="J152" s="56"/>
      <c r="K152" s="56"/>
      <c r="Q152" s="22"/>
      <c r="R152" s="182"/>
    </row>
    <row r="153" spans="2:18" ht="14.4">
      <c r="B153" s="66"/>
      <c r="G153" s="56"/>
      <c r="H153" s="56"/>
      <c r="I153" s="56"/>
      <c r="J153" s="56"/>
      <c r="K153" s="56"/>
      <c r="Q153" s="22"/>
      <c r="R153" s="182"/>
    </row>
    <row r="154" spans="2:18" ht="14.4">
      <c r="B154" s="66"/>
      <c r="G154" s="56"/>
      <c r="H154" s="56"/>
      <c r="I154" s="56"/>
      <c r="J154" s="56"/>
      <c r="K154" s="56"/>
      <c r="Q154" s="22"/>
      <c r="R154" s="182"/>
    </row>
    <row r="155" spans="2:18" ht="14.4">
      <c r="B155" s="66"/>
      <c r="G155" s="56"/>
      <c r="H155" s="56"/>
      <c r="I155" s="56"/>
      <c r="J155" s="56"/>
      <c r="K155" s="56"/>
      <c r="Q155" s="22"/>
      <c r="R155" s="182"/>
    </row>
    <row r="156" spans="2:18" ht="14.4">
      <c r="B156" s="66"/>
      <c r="G156" s="56"/>
      <c r="H156" s="56"/>
      <c r="I156" s="56"/>
      <c r="J156" s="56"/>
      <c r="K156" s="56"/>
      <c r="Q156" s="22"/>
      <c r="R156" s="182"/>
    </row>
    <row r="157" spans="2:18" ht="14.4">
      <c r="B157" s="66"/>
      <c r="G157" s="56"/>
      <c r="H157" s="56"/>
      <c r="I157" s="56"/>
      <c r="J157" s="56"/>
      <c r="K157" s="56"/>
      <c r="Q157" s="22"/>
      <c r="R157" s="182"/>
    </row>
    <row r="158" spans="2:18" ht="14.4">
      <c r="B158" s="66"/>
      <c r="G158" s="56"/>
      <c r="H158" s="56"/>
      <c r="I158" s="56"/>
      <c r="J158" s="56"/>
      <c r="K158" s="56"/>
      <c r="Q158" s="22"/>
      <c r="R158" s="182"/>
    </row>
    <row r="159" spans="2:18" ht="14.4">
      <c r="B159" s="66"/>
      <c r="G159" s="56"/>
      <c r="H159" s="56"/>
      <c r="I159" s="56"/>
      <c r="J159" s="56"/>
      <c r="K159" s="56"/>
      <c r="Q159" s="22"/>
      <c r="R159" s="182"/>
    </row>
    <row r="160" spans="2:18" ht="14.4">
      <c r="B160" s="66"/>
      <c r="G160" s="56"/>
      <c r="H160" s="56"/>
      <c r="I160" s="56"/>
      <c r="J160" s="56"/>
      <c r="K160" s="56"/>
      <c r="Q160" s="22"/>
      <c r="R160" s="182"/>
    </row>
    <row r="161" spans="2:18" ht="14.4">
      <c r="B161" s="66"/>
      <c r="G161" s="56"/>
      <c r="H161" s="56"/>
      <c r="I161" s="56"/>
      <c r="J161" s="56"/>
      <c r="K161" s="56"/>
      <c r="Q161" s="22"/>
      <c r="R161" s="182"/>
    </row>
    <row r="162" spans="2:18" ht="14.4">
      <c r="B162" s="66"/>
      <c r="G162" s="56"/>
      <c r="H162" s="56"/>
      <c r="I162" s="56"/>
      <c r="J162" s="56"/>
      <c r="K162" s="56"/>
      <c r="Q162" s="22"/>
      <c r="R162" s="182"/>
    </row>
    <row r="163" spans="2:18" ht="14.4">
      <c r="B163" s="66"/>
      <c r="G163" s="56"/>
      <c r="H163" s="56"/>
      <c r="I163" s="56"/>
      <c r="J163" s="56"/>
      <c r="K163" s="56"/>
      <c r="Q163" s="22"/>
      <c r="R163" s="182"/>
    </row>
    <row r="164" spans="2:18" ht="14.4">
      <c r="B164" s="66"/>
      <c r="G164" s="56"/>
      <c r="H164" s="56"/>
      <c r="I164" s="56"/>
      <c r="J164" s="56"/>
      <c r="K164" s="56"/>
      <c r="Q164" s="22"/>
      <c r="R164" s="182"/>
    </row>
    <row r="165" spans="2:18" ht="14.4">
      <c r="B165" s="66"/>
      <c r="G165" s="56"/>
      <c r="H165" s="56"/>
      <c r="I165" s="56"/>
      <c r="J165" s="56"/>
      <c r="K165" s="56"/>
      <c r="Q165" s="22"/>
      <c r="R165" s="182"/>
    </row>
    <row r="166" spans="2:18" ht="14.4">
      <c r="B166" s="66"/>
      <c r="G166" s="56"/>
      <c r="H166" s="56"/>
      <c r="I166" s="56"/>
      <c r="J166" s="56"/>
      <c r="K166" s="56"/>
      <c r="Q166" s="22"/>
      <c r="R166" s="182"/>
    </row>
    <row r="167" spans="2:18" ht="14.4">
      <c r="B167" s="66"/>
      <c r="G167" s="56"/>
      <c r="H167" s="56"/>
      <c r="I167" s="56"/>
      <c r="J167" s="56"/>
      <c r="K167" s="56"/>
      <c r="Q167" s="22"/>
      <c r="R167" s="182"/>
    </row>
    <row r="168" spans="2:18" ht="14.4">
      <c r="B168" s="66"/>
      <c r="G168" s="56"/>
      <c r="H168" s="56"/>
      <c r="I168" s="56"/>
      <c r="J168" s="56"/>
      <c r="K168" s="56"/>
      <c r="Q168" s="22"/>
      <c r="R168" s="182"/>
    </row>
    <row r="169" spans="2:18" ht="14.4">
      <c r="B169" s="66"/>
      <c r="G169" s="56"/>
      <c r="H169" s="56"/>
      <c r="I169" s="56"/>
      <c r="J169" s="56"/>
      <c r="K169" s="56"/>
      <c r="Q169" s="22"/>
      <c r="R169" s="182"/>
    </row>
    <row r="170" spans="2:18" ht="14.4">
      <c r="B170" s="66"/>
      <c r="G170" s="56"/>
      <c r="H170" s="56"/>
      <c r="I170" s="56"/>
      <c r="J170" s="56"/>
      <c r="K170" s="56"/>
      <c r="Q170" s="22"/>
      <c r="R170" s="182"/>
    </row>
    <row r="171" spans="2:18" ht="14.4">
      <c r="B171" s="66"/>
      <c r="G171" s="56"/>
      <c r="H171" s="56"/>
      <c r="I171" s="56"/>
      <c r="J171" s="56"/>
      <c r="K171" s="56"/>
      <c r="Q171" s="22"/>
      <c r="R171" s="182"/>
    </row>
    <row r="172" spans="2:18" ht="14.4">
      <c r="B172" s="66"/>
      <c r="G172" s="56"/>
      <c r="H172" s="56"/>
      <c r="I172" s="56"/>
      <c r="J172" s="56"/>
      <c r="K172" s="56"/>
      <c r="Q172" s="22"/>
      <c r="R172" s="182"/>
    </row>
    <row r="173" spans="2:18" ht="14.4">
      <c r="B173" s="66"/>
      <c r="G173" s="56"/>
      <c r="H173" s="56"/>
      <c r="I173" s="56"/>
      <c r="J173" s="56"/>
      <c r="K173" s="56"/>
      <c r="Q173" s="22"/>
      <c r="R173" s="182"/>
    </row>
    <row r="174" spans="2:18" ht="14.4">
      <c r="B174" s="66"/>
      <c r="G174" s="56"/>
      <c r="H174" s="56"/>
      <c r="I174" s="56"/>
      <c r="J174" s="56"/>
      <c r="K174" s="56"/>
      <c r="Q174" s="22"/>
      <c r="R174" s="182"/>
    </row>
    <row r="175" spans="2:18" ht="14.4">
      <c r="B175" s="66"/>
      <c r="G175" s="56"/>
      <c r="H175" s="56"/>
      <c r="I175" s="56"/>
      <c r="J175" s="56"/>
      <c r="K175" s="56"/>
      <c r="Q175" s="22"/>
      <c r="R175" s="182"/>
    </row>
    <row r="176" spans="2:18" ht="14.4">
      <c r="B176" s="66"/>
      <c r="G176" s="56"/>
      <c r="H176" s="56"/>
      <c r="I176" s="56"/>
      <c r="J176" s="56"/>
      <c r="K176" s="56"/>
      <c r="Q176" s="22"/>
      <c r="R176" s="182"/>
    </row>
    <row r="177" spans="2:18" ht="14.4">
      <c r="B177" s="66"/>
      <c r="G177" s="56"/>
      <c r="H177" s="56"/>
      <c r="I177" s="56"/>
      <c r="J177" s="56"/>
      <c r="K177" s="56"/>
      <c r="Q177" s="22"/>
      <c r="R177" s="182"/>
    </row>
    <row r="178" spans="2:18" ht="14.4">
      <c r="B178" s="66"/>
      <c r="G178" s="56"/>
      <c r="H178" s="56"/>
      <c r="I178" s="56"/>
      <c r="J178" s="56"/>
      <c r="K178" s="56"/>
      <c r="Q178" s="22"/>
      <c r="R178" s="182"/>
    </row>
    <row r="179" spans="2:18" ht="14.4">
      <c r="B179" s="66"/>
      <c r="G179" s="56"/>
      <c r="H179" s="56"/>
      <c r="I179" s="56"/>
      <c r="J179" s="56"/>
      <c r="K179" s="56"/>
      <c r="Q179" s="22"/>
      <c r="R179" s="182"/>
    </row>
    <row r="180" spans="2:18" ht="14.4">
      <c r="B180" s="66"/>
      <c r="G180" s="56"/>
      <c r="H180" s="56"/>
      <c r="I180" s="56"/>
      <c r="J180" s="56"/>
      <c r="K180" s="56"/>
      <c r="Q180" s="22"/>
      <c r="R180" s="182"/>
    </row>
    <row r="181" spans="2:18" ht="14.4">
      <c r="B181" s="66"/>
      <c r="G181" s="56"/>
      <c r="H181" s="56"/>
      <c r="I181" s="56"/>
      <c r="J181" s="56"/>
      <c r="K181" s="56"/>
      <c r="Q181" s="22"/>
      <c r="R181" s="182"/>
    </row>
    <row r="182" spans="2:18" ht="14.4">
      <c r="B182" s="66"/>
      <c r="G182" s="56"/>
      <c r="H182" s="56"/>
      <c r="I182" s="56"/>
      <c r="J182" s="56"/>
      <c r="K182" s="56"/>
      <c r="Q182" s="22"/>
      <c r="R182" s="182"/>
    </row>
    <row r="183" spans="2:18" ht="14.4">
      <c r="B183" s="66"/>
      <c r="G183" s="56"/>
      <c r="H183" s="56"/>
      <c r="I183" s="56"/>
      <c r="J183" s="56"/>
      <c r="K183" s="56"/>
      <c r="Q183" s="22"/>
      <c r="R183" s="182"/>
    </row>
    <row r="184" spans="2:18" ht="14.4">
      <c r="B184" s="66"/>
      <c r="G184" s="56"/>
      <c r="H184" s="56"/>
      <c r="I184" s="56"/>
      <c r="J184" s="56"/>
      <c r="K184" s="56"/>
      <c r="Q184" s="22"/>
      <c r="R184" s="182"/>
    </row>
    <row r="185" spans="2:18" ht="14.4">
      <c r="B185" s="66"/>
      <c r="G185" s="56"/>
      <c r="H185" s="56"/>
      <c r="I185" s="56"/>
      <c r="J185" s="56"/>
      <c r="K185" s="56"/>
      <c r="Q185" s="22"/>
      <c r="R185" s="182"/>
    </row>
    <row r="186" spans="2:18" ht="14.4">
      <c r="B186" s="66"/>
      <c r="G186" s="56"/>
      <c r="H186" s="56"/>
      <c r="I186" s="56"/>
      <c r="J186" s="56"/>
      <c r="K186" s="56"/>
      <c r="Q186" s="22"/>
      <c r="R186" s="182"/>
    </row>
    <row r="187" spans="2:18" ht="14.4">
      <c r="B187" s="66"/>
      <c r="G187" s="56"/>
      <c r="H187" s="56"/>
      <c r="I187" s="56"/>
      <c r="J187" s="56"/>
      <c r="K187" s="56"/>
      <c r="Q187" s="22"/>
      <c r="R187" s="182"/>
    </row>
    <row r="188" spans="2:18" ht="14.4">
      <c r="B188" s="66"/>
      <c r="G188" s="56"/>
      <c r="H188" s="56"/>
      <c r="I188" s="56"/>
      <c r="J188" s="56"/>
      <c r="K188" s="56"/>
      <c r="Q188" s="22"/>
      <c r="R188" s="182"/>
    </row>
    <row r="189" spans="2:18" ht="14.4">
      <c r="B189" s="66"/>
      <c r="G189" s="56"/>
      <c r="H189" s="56"/>
      <c r="I189" s="56"/>
      <c r="J189" s="56"/>
      <c r="K189" s="56"/>
      <c r="Q189" s="22"/>
      <c r="R189" s="182"/>
    </row>
    <row r="190" spans="2:18" ht="14.4">
      <c r="B190" s="66"/>
      <c r="G190" s="56"/>
      <c r="H190" s="56"/>
      <c r="I190" s="56"/>
      <c r="J190" s="56"/>
      <c r="K190" s="56"/>
      <c r="Q190" s="22"/>
      <c r="R190" s="182"/>
    </row>
    <row r="191" spans="2:18" ht="14.4">
      <c r="B191" s="66"/>
      <c r="G191" s="56"/>
      <c r="H191" s="56"/>
      <c r="I191" s="56"/>
      <c r="J191" s="56"/>
      <c r="K191" s="56"/>
      <c r="Q191" s="22"/>
      <c r="R191" s="182"/>
    </row>
    <row r="192" spans="2:18" ht="14.4">
      <c r="B192" s="66"/>
      <c r="G192" s="56"/>
      <c r="H192" s="56"/>
      <c r="I192" s="56"/>
      <c r="J192" s="56"/>
      <c r="K192" s="56"/>
      <c r="Q192" s="22"/>
      <c r="R192" s="182"/>
    </row>
    <row r="193" spans="2:18" ht="14.4">
      <c r="B193" s="66"/>
      <c r="G193" s="56"/>
      <c r="H193" s="56"/>
      <c r="I193" s="56"/>
      <c r="J193" s="56"/>
      <c r="K193" s="56"/>
      <c r="Q193" s="22"/>
      <c r="R193" s="182"/>
    </row>
    <row r="194" spans="2:18" ht="14.4">
      <c r="B194" s="66"/>
      <c r="G194" s="56"/>
      <c r="H194" s="56"/>
      <c r="I194" s="56"/>
      <c r="J194" s="56"/>
      <c r="K194" s="56"/>
      <c r="Q194" s="22"/>
      <c r="R194" s="182"/>
    </row>
    <row r="195" spans="2:18" ht="14.4">
      <c r="B195" s="66"/>
      <c r="G195" s="56"/>
      <c r="H195" s="56"/>
      <c r="I195" s="56"/>
      <c r="J195" s="56"/>
      <c r="K195" s="56"/>
      <c r="Q195" s="22"/>
      <c r="R195" s="182"/>
    </row>
    <row r="196" spans="2:18" ht="14.4">
      <c r="B196" s="66"/>
      <c r="G196" s="56"/>
      <c r="H196" s="56"/>
      <c r="I196" s="56"/>
      <c r="J196" s="56"/>
      <c r="K196" s="56"/>
      <c r="Q196" s="22"/>
      <c r="R196" s="182"/>
    </row>
    <row r="197" spans="2:18" ht="14.4">
      <c r="B197" s="66"/>
      <c r="G197" s="56"/>
      <c r="H197" s="56"/>
      <c r="I197" s="56"/>
      <c r="J197" s="56"/>
      <c r="K197" s="56"/>
      <c r="Q197" s="22"/>
      <c r="R197" s="182"/>
    </row>
    <row r="198" spans="2:18" ht="14.4">
      <c r="B198" s="66"/>
      <c r="G198" s="56"/>
      <c r="H198" s="56"/>
      <c r="I198" s="56"/>
      <c r="J198" s="56"/>
      <c r="K198" s="56"/>
      <c r="Q198" s="22"/>
      <c r="R198" s="182"/>
    </row>
    <row r="199" spans="2:18" ht="14.4">
      <c r="B199" s="66"/>
      <c r="G199" s="56"/>
      <c r="H199" s="56"/>
      <c r="I199" s="56"/>
      <c r="J199" s="56"/>
      <c r="K199" s="56"/>
      <c r="Q199" s="22"/>
      <c r="R199" s="182"/>
    </row>
    <row r="200" spans="2:18" ht="14.4">
      <c r="B200" s="66"/>
      <c r="G200" s="56"/>
      <c r="H200" s="56"/>
      <c r="I200" s="56"/>
      <c r="J200" s="56"/>
      <c r="K200" s="56"/>
      <c r="Q200" s="22"/>
      <c r="R200" s="182"/>
    </row>
    <row r="201" spans="2:18" ht="14.4">
      <c r="B201" s="66"/>
      <c r="G201" s="56"/>
      <c r="H201" s="56"/>
      <c r="I201" s="56"/>
      <c r="J201" s="56"/>
      <c r="K201" s="56"/>
      <c r="Q201" s="22"/>
      <c r="R201" s="182"/>
    </row>
    <row r="202" spans="2:18" ht="14.4">
      <c r="B202" s="66"/>
      <c r="G202" s="56"/>
      <c r="H202" s="56"/>
      <c r="I202" s="56"/>
      <c r="J202" s="56"/>
      <c r="K202" s="56"/>
      <c r="Q202" s="22"/>
      <c r="R202" s="182"/>
    </row>
    <row r="203" spans="2:18" ht="14.4">
      <c r="B203" s="66"/>
      <c r="G203" s="56"/>
      <c r="H203" s="56"/>
      <c r="I203" s="56"/>
      <c r="J203" s="56"/>
      <c r="K203" s="56"/>
      <c r="Q203" s="22"/>
      <c r="R203" s="182"/>
    </row>
    <row r="204" spans="2:18" ht="14.4">
      <c r="B204" s="66"/>
      <c r="G204" s="56"/>
      <c r="H204" s="56"/>
      <c r="I204" s="56"/>
      <c r="J204" s="56"/>
      <c r="K204" s="56"/>
      <c r="Q204" s="22"/>
      <c r="R204" s="182"/>
    </row>
    <row r="205" spans="2:18" ht="14.4">
      <c r="B205" s="66"/>
      <c r="G205" s="56"/>
      <c r="H205" s="56"/>
      <c r="I205" s="56"/>
      <c r="J205" s="56"/>
      <c r="K205" s="56"/>
      <c r="Q205" s="22"/>
      <c r="R205" s="182"/>
    </row>
    <row r="206" spans="2:18" ht="14.4">
      <c r="B206" s="66"/>
      <c r="G206" s="56"/>
      <c r="H206" s="56"/>
      <c r="I206" s="56"/>
      <c r="J206" s="56"/>
      <c r="K206" s="56"/>
      <c r="Q206" s="22"/>
      <c r="R206" s="182"/>
    </row>
    <row r="207" spans="2:18" ht="14.4">
      <c r="B207" s="66"/>
      <c r="G207" s="56"/>
      <c r="H207" s="56"/>
      <c r="I207" s="56"/>
      <c r="J207" s="56"/>
      <c r="K207" s="56"/>
      <c r="Q207" s="22"/>
      <c r="R207" s="182"/>
    </row>
    <row r="208" spans="2:18" ht="14.4">
      <c r="B208" s="66"/>
      <c r="G208" s="56"/>
      <c r="H208" s="56"/>
      <c r="I208" s="56"/>
      <c r="J208" s="56"/>
      <c r="K208" s="56"/>
      <c r="Q208" s="22"/>
      <c r="R208" s="182"/>
    </row>
    <row r="209" spans="2:18" ht="14.4">
      <c r="B209" s="66"/>
      <c r="G209" s="56"/>
      <c r="H209" s="56"/>
      <c r="I209" s="56"/>
      <c r="J209" s="56"/>
      <c r="K209" s="56"/>
      <c r="Q209" s="22"/>
      <c r="R209" s="182"/>
    </row>
    <row r="210" spans="2:18" ht="14.4">
      <c r="B210" s="66"/>
      <c r="G210" s="56"/>
      <c r="H210" s="56"/>
      <c r="I210" s="56"/>
      <c r="J210" s="56"/>
      <c r="K210" s="56"/>
      <c r="Q210" s="22"/>
      <c r="R210" s="182"/>
    </row>
    <row r="211" spans="2:18" ht="14.4">
      <c r="B211" s="66"/>
      <c r="G211" s="56"/>
      <c r="H211" s="56"/>
      <c r="I211" s="56"/>
      <c r="J211" s="56"/>
      <c r="K211" s="56"/>
      <c r="Q211" s="22"/>
      <c r="R211" s="182"/>
    </row>
    <row r="212" spans="2:18" ht="14.4">
      <c r="B212" s="66"/>
      <c r="G212" s="56"/>
      <c r="H212" s="56"/>
      <c r="I212" s="56"/>
      <c r="J212" s="56"/>
      <c r="K212" s="56"/>
      <c r="Q212" s="22"/>
      <c r="R212" s="182"/>
    </row>
    <row r="213" spans="2:18" ht="14.4">
      <c r="B213" s="66"/>
      <c r="G213" s="56"/>
      <c r="H213" s="56"/>
      <c r="I213" s="56"/>
      <c r="J213" s="56"/>
      <c r="K213" s="56"/>
      <c r="Q213" s="22"/>
      <c r="R213" s="182"/>
    </row>
    <row r="214" spans="2:18" ht="14.4">
      <c r="B214" s="66"/>
      <c r="G214" s="56"/>
      <c r="H214" s="56"/>
      <c r="I214" s="56"/>
      <c r="J214" s="56"/>
      <c r="K214" s="56"/>
      <c r="Q214" s="22"/>
      <c r="R214" s="182"/>
    </row>
    <row r="215" spans="2:18" ht="14.4">
      <c r="B215" s="66"/>
      <c r="G215" s="56"/>
      <c r="H215" s="56"/>
      <c r="I215" s="56"/>
      <c r="J215" s="56"/>
      <c r="K215" s="56"/>
      <c r="Q215" s="22"/>
      <c r="R215" s="182"/>
    </row>
    <row r="216" spans="2:18" ht="14.4">
      <c r="B216" s="66"/>
      <c r="G216" s="56"/>
      <c r="H216" s="56"/>
      <c r="I216" s="56"/>
      <c r="J216" s="56"/>
      <c r="K216" s="56"/>
      <c r="Q216" s="22"/>
      <c r="R216" s="182"/>
    </row>
    <row r="217" spans="2:18" ht="14.4">
      <c r="B217" s="66"/>
      <c r="G217" s="56"/>
      <c r="H217" s="56"/>
      <c r="I217" s="56"/>
      <c r="J217" s="56"/>
      <c r="K217" s="56"/>
      <c r="Q217" s="22"/>
      <c r="R217" s="182"/>
    </row>
    <row r="218" spans="2:18" ht="14.4">
      <c r="B218" s="66"/>
      <c r="G218" s="56"/>
      <c r="H218" s="56"/>
      <c r="I218" s="56"/>
      <c r="J218" s="56"/>
      <c r="K218" s="56"/>
      <c r="Q218" s="22"/>
      <c r="R218" s="182"/>
    </row>
    <row r="219" spans="2:18" ht="14.4">
      <c r="B219" s="66"/>
      <c r="G219" s="56"/>
      <c r="H219" s="56"/>
      <c r="I219" s="56"/>
      <c r="J219" s="56"/>
      <c r="K219" s="56"/>
      <c r="Q219" s="22"/>
      <c r="R219" s="182"/>
    </row>
    <row r="220" spans="2:18" ht="14.4">
      <c r="B220" s="66"/>
      <c r="G220" s="56"/>
      <c r="H220" s="56"/>
      <c r="I220" s="56"/>
      <c r="J220" s="56"/>
      <c r="K220" s="56"/>
      <c r="Q220" s="22"/>
      <c r="R220" s="182"/>
    </row>
    <row r="221" spans="2:18" ht="14.4">
      <c r="B221" s="66"/>
      <c r="G221" s="56"/>
      <c r="H221" s="56"/>
      <c r="I221" s="56"/>
      <c r="J221" s="56"/>
      <c r="K221" s="56"/>
      <c r="Q221" s="22"/>
      <c r="R221" s="182"/>
    </row>
    <row r="222" spans="2:18" ht="14.4">
      <c r="B222" s="66"/>
      <c r="G222" s="56"/>
      <c r="H222" s="56"/>
      <c r="I222" s="56"/>
      <c r="J222" s="56"/>
      <c r="K222" s="56"/>
      <c r="Q222" s="22"/>
      <c r="R222" s="182"/>
    </row>
    <row r="223" spans="2:18" ht="14.4">
      <c r="B223" s="66"/>
      <c r="G223" s="56"/>
      <c r="H223" s="56"/>
      <c r="I223" s="56"/>
      <c r="J223" s="56"/>
      <c r="K223" s="56"/>
      <c r="Q223" s="22"/>
      <c r="R223" s="182"/>
    </row>
    <row r="224" spans="2:18" ht="14.4">
      <c r="B224" s="66"/>
      <c r="G224" s="56"/>
      <c r="H224" s="56"/>
      <c r="I224" s="56"/>
      <c r="J224" s="56"/>
      <c r="K224" s="56"/>
      <c r="Q224" s="22"/>
      <c r="R224" s="182"/>
    </row>
    <row r="225" spans="2:18" ht="14.4">
      <c r="B225" s="66"/>
      <c r="G225" s="56"/>
      <c r="H225" s="56"/>
      <c r="I225" s="56"/>
      <c r="J225" s="56"/>
      <c r="K225" s="56"/>
      <c r="Q225" s="22"/>
      <c r="R225" s="182"/>
    </row>
    <row r="226" spans="2:18" ht="14.4">
      <c r="B226" s="66"/>
      <c r="G226" s="56"/>
      <c r="H226" s="56"/>
      <c r="I226" s="56"/>
      <c r="J226" s="56"/>
      <c r="K226" s="56"/>
      <c r="Q226" s="22"/>
      <c r="R226" s="182"/>
    </row>
    <row r="227" spans="2:18" ht="14.4">
      <c r="B227" s="66"/>
      <c r="G227" s="56"/>
      <c r="H227" s="56"/>
      <c r="I227" s="56"/>
      <c r="J227" s="56"/>
      <c r="K227" s="56"/>
      <c r="Q227" s="22"/>
      <c r="R227" s="182"/>
    </row>
    <row r="228" spans="2:18" ht="14.4">
      <c r="B228" s="66"/>
      <c r="G228" s="56"/>
      <c r="H228" s="56"/>
      <c r="I228" s="56"/>
      <c r="J228" s="56"/>
      <c r="K228" s="56"/>
      <c r="Q228" s="22"/>
      <c r="R228" s="182"/>
    </row>
    <row r="229" spans="2:18" ht="14.4">
      <c r="B229" s="66"/>
      <c r="G229" s="56"/>
      <c r="H229" s="56"/>
      <c r="I229" s="56"/>
      <c r="J229" s="56"/>
      <c r="K229" s="56"/>
      <c r="Q229" s="22"/>
      <c r="R229" s="182"/>
    </row>
    <row r="230" spans="2:18" ht="14.4">
      <c r="B230" s="66"/>
      <c r="G230" s="56"/>
      <c r="H230" s="56"/>
      <c r="I230" s="56"/>
      <c r="J230" s="56"/>
      <c r="K230" s="56"/>
      <c r="Q230" s="22"/>
      <c r="R230" s="182"/>
    </row>
    <row r="231" spans="2:18" ht="14.4">
      <c r="B231" s="66"/>
      <c r="G231" s="56"/>
      <c r="H231" s="56"/>
      <c r="I231" s="56"/>
      <c r="J231" s="56"/>
      <c r="K231" s="56"/>
      <c r="Q231" s="22"/>
      <c r="R231" s="182"/>
    </row>
    <row r="232" spans="2:18" ht="14.4">
      <c r="B232" s="66"/>
      <c r="G232" s="56"/>
      <c r="H232" s="56"/>
      <c r="I232" s="56"/>
      <c r="J232" s="56"/>
      <c r="K232" s="56"/>
      <c r="Q232" s="22"/>
      <c r="R232" s="182"/>
    </row>
    <row r="233" spans="2:18" ht="14.4">
      <c r="B233" s="66"/>
      <c r="G233" s="56"/>
      <c r="H233" s="56"/>
      <c r="I233" s="56"/>
      <c r="J233" s="56"/>
      <c r="K233" s="56"/>
      <c r="Q233" s="22"/>
      <c r="R233" s="182"/>
    </row>
    <row r="234" spans="2:18" ht="14.4">
      <c r="B234" s="66"/>
      <c r="G234" s="56"/>
      <c r="H234" s="56"/>
      <c r="I234" s="56"/>
      <c r="J234" s="56"/>
      <c r="K234" s="56"/>
      <c r="Q234" s="22"/>
      <c r="R234" s="182"/>
    </row>
    <row r="235" spans="2:18" ht="14.4">
      <c r="B235" s="66"/>
      <c r="G235" s="56"/>
      <c r="H235" s="56"/>
      <c r="I235" s="56"/>
      <c r="J235" s="56"/>
      <c r="K235" s="56"/>
      <c r="Q235" s="22"/>
      <c r="R235" s="182"/>
    </row>
    <row r="236" spans="2:18" ht="14.4">
      <c r="B236" s="66"/>
      <c r="G236" s="56"/>
      <c r="H236" s="56"/>
      <c r="I236" s="56"/>
      <c r="J236" s="56"/>
      <c r="K236" s="56"/>
      <c r="Q236" s="22"/>
      <c r="R236" s="182"/>
    </row>
    <row r="237" spans="2:18" ht="14.4">
      <c r="B237" s="66"/>
      <c r="G237" s="56"/>
      <c r="H237" s="56"/>
      <c r="I237" s="56"/>
      <c r="J237" s="56"/>
      <c r="K237" s="56"/>
      <c r="Q237" s="22"/>
      <c r="R237" s="182"/>
    </row>
    <row r="238" spans="2:18" ht="14.4">
      <c r="B238" s="66"/>
      <c r="G238" s="56"/>
      <c r="H238" s="56"/>
      <c r="I238" s="56"/>
      <c r="J238" s="56"/>
      <c r="K238" s="56"/>
      <c r="Q238" s="22"/>
      <c r="R238" s="182"/>
    </row>
    <row r="239" spans="2:18" ht="14.4">
      <c r="B239" s="66"/>
      <c r="G239" s="56"/>
      <c r="H239" s="56"/>
      <c r="I239" s="56"/>
      <c r="J239" s="56"/>
      <c r="K239" s="56"/>
      <c r="Q239" s="22"/>
      <c r="R239" s="182"/>
    </row>
    <row r="240" spans="2:18" ht="14.4">
      <c r="B240" s="66"/>
      <c r="G240" s="56"/>
      <c r="H240" s="56"/>
      <c r="I240" s="56"/>
      <c r="J240" s="56"/>
      <c r="K240" s="56"/>
      <c r="Q240" s="22"/>
      <c r="R240" s="182"/>
    </row>
    <row r="241" spans="2:18" ht="14.4">
      <c r="B241" s="66"/>
      <c r="G241" s="56"/>
      <c r="H241" s="56"/>
      <c r="I241" s="56"/>
      <c r="J241" s="56"/>
      <c r="K241" s="56"/>
      <c r="Q241" s="22"/>
      <c r="R241" s="182"/>
    </row>
    <row r="242" spans="2:18" ht="14.4">
      <c r="B242" s="66"/>
      <c r="G242" s="56"/>
      <c r="H242" s="56"/>
      <c r="I242" s="56"/>
      <c r="J242" s="56"/>
      <c r="K242" s="56"/>
      <c r="Q242" s="22"/>
      <c r="R242" s="182"/>
    </row>
    <row r="243" spans="2:18" ht="14.4">
      <c r="B243" s="66"/>
      <c r="G243" s="56"/>
      <c r="H243" s="56"/>
      <c r="I243" s="56"/>
      <c r="J243" s="56"/>
      <c r="K243" s="56"/>
      <c r="Q243" s="22"/>
      <c r="R243" s="182"/>
    </row>
    <row r="244" spans="2:18" ht="14.4">
      <c r="B244" s="66"/>
      <c r="G244" s="56"/>
      <c r="H244" s="56"/>
      <c r="I244" s="56"/>
      <c r="J244" s="56"/>
      <c r="K244" s="56"/>
      <c r="Q244" s="22"/>
      <c r="R244" s="182"/>
    </row>
    <row r="245" spans="2:18" ht="14.4">
      <c r="B245" s="66"/>
      <c r="G245" s="56"/>
      <c r="H245" s="56"/>
      <c r="I245" s="56"/>
      <c r="J245" s="56"/>
      <c r="K245" s="56"/>
      <c r="Q245" s="22"/>
      <c r="R245" s="182"/>
    </row>
    <row r="246" spans="2:18" ht="14.4">
      <c r="B246" s="66"/>
      <c r="G246" s="56"/>
      <c r="H246" s="56"/>
      <c r="I246" s="56"/>
      <c r="J246" s="56"/>
      <c r="K246" s="56"/>
      <c r="Q246" s="22"/>
      <c r="R246" s="182"/>
    </row>
    <row r="247" spans="2:18" ht="14.4">
      <c r="B247" s="66"/>
      <c r="G247" s="56"/>
      <c r="H247" s="56"/>
      <c r="I247" s="56"/>
      <c r="J247" s="56"/>
      <c r="K247" s="56"/>
      <c r="Q247" s="22"/>
      <c r="R247" s="182"/>
    </row>
    <row r="248" spans="2:18" ht="14.4">
      <c r="B248" s="66"/>
      <c r="G248" s="56"/>
      <c r="H248" s="56"/>
      <c r="I248" s="56"/>
      <c r="J248" s="56"/>
      <c r="K248" s="56"/>
      <c r="Q248" s="22"/>
      <c r="R248" s="182"/>
    </row>
    <row r="249" spans="2:18" ht="14.4">
      <c r="B249" s="66"/>
      <c r="G249" s="56"/>
      <c r="H249" s="56"/>
      <c r="I249" s="56"/>
      <c r="J249" s="56"/>
      <c r="K249" s="56"/>
      <c r="Q249" s="22"/>
      <c r="R249" s="182"/>
    </row>
    <row r="250" spans="2:18" ht="14.4">
      <c r="B250" s="66"/>
      <c r="G250" s="56"/>
      <c r="H250" s="56"/>
      <c r="I250" s="56"/>
      <c r="J250" s="56"/>
      <c r="K250" s="56"/>
      <c r="Q250" s="22"/>
      <c r="R250" s="182"/>
    </row>
    <row r="251" spans="2:18" ht="14.4">
      <c r="B251" s="66"/>
      <c r="G251" s="56"/>
      <c r="H251" s="56"/>
      <c r="I251" s="56"/>
      <c r="J251" s="56"/>
      <c r="K251" s="56"/>
      <c r="Q251" s="22"/>
      <c r="R251" s="182"/>
    </row>
    <row r="252" spans="2:18" ht="14.4">
      <c r="B252" s="66"/>
      <c r="G252" s="56"/>
      <c r="H252" s="56"/>
      <c r="I252" s="56"/>
      <c r="J252" s="56"/>
      <c r="K252" s="56"/>
      <c r="Q252" s="22"/>
      <c r="R252" s="182"/>
    </row>
    <row r="253" spans="2:18" ht="14.4">
      <c r="B253" s="66"/>
      <c r="G253" s="56"/>
      <c r="H253" s="56"/>
      <c r="I253" s="56"/>
      <c r="J253" s="56"/>
      <c r="K253" s="56"/>
      <c r="Q253" s="22"/>
      <c r="R253" s="182"/>
    </row>
    <row r="254" spans="2:18" ht="14.4">
      <c r="B254" s="66"/>
      <c r="G254" s="56"/>
      <c r="H254" s="56"/>
      <c r="I254" s="56"/>
      <c r="J254" s="56"/>
      <c r="K254" s="56"/>
      <c r="Q254" s="22"/>
      <c r="R254" s="182"/>
    </row>
    <row r="255" spans="2:18" ht="14.4">
      <c r="B255" s="66"/>
      <c r="G255" s="56"/>
      <c r="H255" s="56"/>
      <c r="I255" s="56"/>
      <c r="J255" s="56"/>
      <c r="K255" s="56"/>
      <c r="Q255" s="22"/>
      <c r="R255" s="182"/>
    </row>
    <row r="256" spans="2:18" ht="14.4">
      <c r="B256" s="66"/>
      <c r="G256" s="56"/>
      <c r="H256" s="56"/>
      <c r="I256" s="56"/>
      <c r="J256" s="56"/>
      <c r="K256" s="56"/>
      <c r="Q256" s="22"/>
      <c r="R256" s="182"/>
    </row>
    <row r="257" spans="2:18" ht="14.4">
      <c r="B257" s="66"/>
      <c r="G257" s="56"/>
      <c r="H257" s="56"/>
      <c r="I257" s="56"/>
      <c r="J257" s="56"/>
      <c r="K257" s="56"/>
      <c r="Q257" s="22"/>
      <c r="R257" s="182"/>
    </row>
    <row r="258" spans="2:18" ht="14.4">
      <c r="B258" s="66"/>
      <c r="G258" s="56"/>
      <c r="H258" s="56"/>
      <c r="I258" s="56"/>
      <c r="J258" s="56"/>
      <c r="K258" s="56"/>
      <c r="Q258" s="22"/>
      <c r="R258" s="182"/>
    </row>
    <row r="259" spans="2:18" ht="14.4">
      <c r="B259" s="66"/>
      <c r="G259" s="56"/>
      <c r="H259" s="56"/>
      <c r="I259" s="56"/>
      <c r="J259" s="56"/>
      <c r="K259" s="56"/>
      <c r="Q259" s="22"/>
      <c r="R259" s="182"/>
    </row>
    <row r="260" spans="2:18" ht="14.4">
      <c r="B260" s="66"/>
      <c r="G260" s="56"/>
      <c r="H260" s="56"/>
      <c r="I260" s="56"/>
      <c r="J260" s="56"/>
      <c r="K260" s="56"/>
      <c r="Q260" s="22"/>
      <c r="R260" s="182"/>
    </row>
    <row r="261" spans="2:18" ht="14.4">
      <c r="B261" s="66"/>
      <c r="G261" s="56"/>
      <c r="H261" s="56"/>
      <c r="I261" s="56"/>
      <c r="J261" s="56"/>
      <c r="K261" s="56"/>
      <c r="Q261" s="22"/>
      <c r="R261" s="182"/>
    </row>
    <row r="262" spans="2:18" ht="14.4">
      <c r="B262" s="66"/>
      <c r="G262" s="56"/>
      <c r="H262" s="56"/>
      <c r="I262" s="56"/>
      <c r="J262" s="56"/>
      <c r="K262" s="56"/>
      <c r="Q262" s="22"/>
      <c r="R262" s="182"/>
    </row>
    <row r="263" spans="2:18" ht="14.4">
      <c r="B263" s="66"/>
      <c r="G263" s="56"/>
      <c r="H263" s="56"/>
      <c r="I263" s="56"/>
      <c r="J263" s="56"/>
      <c r="K263" s="56"/>
      <c r="Q263" s="22"/>
      <c r="R263" s="182"/>
    </row>
    <row r="264" spans="2:18" ht="14.4">
      <c r="B264" s="66"/>
      <c r="G264" s="56"/>
      <c r="H264" s="56"/>
      <c r="I264" s="56"/>
      <c r="J264" s="56"/>
      <c r="K264" s="56"/>
      <c r="Q264" s="22"/>
      <c r="R264" s="182"/>
    </row>
    <row r="265" spans="2:18" ht="14.4">
      <c r="B265" s="66"/>
      <c r="G265" s="56"/>
      <c r="H265" s="56"/>
      <c r="I265" s="56"/>
      <c r="J265" s="56"/>
      <c r="K265" s="56"/>
      <c r="Q265" s="22"/>
      <c r="R265" s="182"/>
    </row>
    <row r="266" spans="2:18" ht="14.4">
      <c r="B266" s="66"/>
      <c r="G266" s="56"/>
      <c r="H266" s="56"/>
      <c r="I266" s="56"/>
      <c r="J266" s="56"/>
      <c r="K266" s="56"/>
      <c r="Q266" s="22"/>
      <c r="R266" s="182"/>
    </row>
    <row r="267" spans="2:18" ht="14.4">
      <c r="B267" s="66"/>
      <c r="G267" s="56"/>
      <c r="H267" s="56"/>
      <c r="I267" s="56"/>
      <c r="J267" s="56"/>
      <c r="K267" s="56"/>
      <c r="Q267" s="22"/>
      <c r="R267" s="182"/>
    </row>
    <row r="268" spans="2:18" ht="14.4">
      <c r="B268" s="66"/>
      <c r="G268" s="56"/>
      <c r="H268" s="56"/>
      <c r="I268" s="56"/>
      <c r="J268" s="56"/>
      <c r="K268" s="56"/>
      <c r="Q268" s="22"/>
      <c r="R268" s="182"/>
    </row>
    <row r="269" spans="2:18" ht="14.4">
      <c r="B269" s="66"/>
      <c r="G269" s="56"/>
      <c r="H269" s="56"/>
      <c r="I269" s="56"/>
      <c r="J269" s="56"/>
      <c r="K269" s="56"/>
      <c r="Q269" s="22"/>
      <c r="R269" s="182"/>
    </row>
    <row r="270" spans="2:18" ht="14.4">
      <c r="B270" s="66"/>
      <c r="G270" s="56"/>
      <c r="H270" s="56"/>
      <c r="I270" s="56"/>
      <c r="J270" s="56"/>
      <c r="K270" s="56"/>
      <c r="Q270" s="22"/>
      <c r="R270" s="182"/>
    </row>
    <row r="271" spans="2:18" ht="14.4">
      <c r="B271" s="66"/>
      <c r="G271" s="56"/>
      <c r="H271" s="56"/>
      <c r="I271" s="56"/>
      <c r="J271" s="56"/>
      <c r="K271" s="56"/>
      <c r="Q271" s="22"/>
      <c r="R271" s="182"/>
    </row>
    <row r="272" spans="2:18" ht="14.4">
      <c r="B272" s="66"/>
      <c r="G272" s="56"/>
      <c r="H272" s="56"/>
      <c r="I272" s="56"/>
      <c r="J272" s="56"/>
      <c r="K272" s="56"/>
      <c r="Q272" s="22"/>
      <c r="R272" s="182"/>
    </row>
    <row r="273" spans="2:18" ht="14.4">
      <c r="B273" s="66"/>
      <c r="G273" s="56"/>
      <c r="H273" s="56"/>
      <c r="I273" s="56"/>
      <c r="J273" s="56"/>
      <c r="K273" s="56"/>
      <c r="Q273" s="22"/>
      <c r="R273" s="182"/>
    </row>
    <row r="274" spans="2:18" ht="14.4">
      <c r="B274" s="66"/>
      <c r="G274" s="56"/>
      <c r="H274" s="56"/>
      <c r="I274" s="56"/>
      <c r="J274" s="56"/>
      <c r="K274" s="56"/>
      <c r="Q274" s="22"/>
      <c r="R274" s="182"/>
    </row>
    <row r="275" spans="2:18" ht="14.4">
      <c r="B275" s="66"/>
      <c r="G275" s="56"/>
      <c r="H275" s="56"/>
      <c r="I275" s="56"/>
      <c r="J275" s="56"/>
      <c r="K275" s="56"/>
      <c r="Q275" s="22"/>
      <c r="R275" s="182"/>
    </row>
    <row r="276" spans="2:18" ht="14.4">
      <c r="B276" s="66"/>
      <c r="G276" s="56"/>
      <c r="H276" s="56"/>
      <c r="I276" s="56"/>
      <c r="J276" s="56"/>
      <c r="K276" s="56"/>
      <c r="Q276" s="22"/>
      <c r="R276" s="182"/>
    </row>
    <row r="277" spans="2:18" ht="14.4">
      <c r="B277" s="66"/>
      <c r="G277" s="56"/>
      <c r="H277" s="56"/>
      <c r="I277" s="56"/>
      <c r="J277" s="56"/>
      <c r="K277" s="56"/>
      <c r="Q277" s="22"/>
      <c r="R277" s="182"/>
    </row>
    <row r="278" spans="2:18" ht="14.4">
      <c r="B278" s="66"/>
      <c r="G278" s="56"/>
      <c r="H278" s="56"/>
      <c r="I278" s="56"/>
      <c r="J278" s="56"/>
      <c r="K278" s="56"/>
      <c r="Q278" s="22"/>
      <c r="R278" s="182"/>
    </row>
    <row r="279" spans="2:18" ht="14.4">
      <c r="B279" s="66"/>
      <c r="G279" s="56"/>
      <c r="H279" s="56"/>
      <c r="I279" s="56"/>
      <c r="J279" s="56"/>
      <c r="K279" s="56"/>
      <c r="Q279" s="22"/>
      <c r="R279" s="182"/>
    </row>
    <row r="280" spans="2:18" ht="14.4">
      <c r="B280" s="66"/>
      <c r="G280" s="56"/>
      <c r="H280" s="56"/>
      <c r="I280" s="56"/>
      <c r="J280" s="56"/>
      <c r="K280" s="56"/>
      <c r="Q280" s="22"/>
      <c r="R280" s="182"/>
    </row>
    <row r="281" spans="2:18" ht="14.4">
      <c r="B281" s="66"/>
      <c r="G281" s="56"/>
      <c r="H281" s="56"/>
      <c r="I281" s="56"/>
      <c r="J281" s="56"/>
      <c r="K281" s="56"/>
      <c r="Q281" s="22"/>
      <c r="R281" s="182"/>
    </row>
    <row r="282" spans="2:18" ht="14.4">
      <c r="B282" s="66"/>
      <c r="G282" s="56"/>
      <c r="H282" s="56"/>
      <c r="I282" s="56"/>
      <c r="J282" s="56"/>
      <c r="K282" s="56"/>
      <c r="Q282" s="22"/>
      <c r="R282" s="182"/>
    </row>
    <row r="283" spans="2:18" ht="14.4">
      <c r="B283" s="66"/>
      <c r="G283" s="56"/>
      <c r="H283" s="56"/>
      <c r="I283" s="56"/>
      <c r="J283" s="56"/>
      <c r="K283" s="56"/>
      <c r="Q283" s="22"/>
      <c r="R283" s="182"/>
    </row>
    <row r="284" spans="2:18" ht="14.4">
      <c r="B284" s="66"/>
      <c r="G284" s="56"/>
      <c r="H284" s="56"/>
      <c r="I284" s="56"/>
      <c r="J284" s="56"/>
      <c r="K284" s="56"/>
      <c r="Q284" s="22"/>
      <c r="R284" s="182"/>
    </row>
    <row r="285" spans="2:18" ht="14.4">
      <c r="B285" s="66"/>
      <c r="G285" s="56"/>
      <c r="H285" s="56"/>
      <c r="I285" s="56"/>
      <c r="J285" s="56"/>
      <c r="K285" s="56"/>
      <c r="Q285" s="22"/>
      <c r="R285" s="182"/>
    </row>
    <row r="286" spans="2:18" ht="14.4">
      <c r="B286" s="66"/>
      <c r="G286" s="56"/>
      <c r="H286" s="56"/>
      <c r="I286" s="56"/>
      <c r="J286" s="56"/>
      <c r="K286" s="56"/>
      <c r="Q286" s="22"/>
      <c r="R286" s="182"/>
    </row>
    <row r="287" spans="2:18" ht="14.4">
      <c r="B287" s="66"/>
      <c r="G287" s="56"/>
      <c r="H287" s="56"/>
      <c r="I287" s="56"/>
      <c r="J287" s="56"/>
      <c r="K287" s="56"/>
      <c r="Q287" s="22"/>
      <c r="R287" s="182"/>
    </row>
    <row r="288" spans="2:18" ht="14.4">
      <c r="B288" s="66"/>
      <c r="G288" s="56"/>
      <c r="H288" s="56"/>
      <c r="I288" s="56"/>
      <c r="J288" s="56"/>
      <c r="K288" s="56"/>
      <c r="Q288" s="22"/>
      <c r="R288" s="182"/>
    </row>
    <row r="289" spans="2:18" ht="14.4">
      <c r="B289" s="66"/>
      <c r="G289" s="56"/>
      <c r="H289" s="56"/>
      <c r="I289" s="56"/>
      <c r="J289" s="56"/>
      <c r="K289" s="56"/>
      <c r="Q289" s="22"/>
      <c r="R289" s="182"/>
    </row>
    <row r="290" spans="2:18" ht="14.4">
      <c r="B290" s="66"/>
      <c r="G290" s="56"/>
      <c r="H290" s="56"/>
      <c r="I290" s="56"/>
      <c r="J290" s="56"/>
      <c r="K290" s="56"/>
      <c r="Q290" s="22"/>
      <c r="R290" s="182"/>
    </row>
    <row r="291" spans="2:18" ht="14.4">
      <c r="B291" s="66"/>
      <c r="G291" s="56"/>
      <c r="H291" s="56"/>
      <c r="I291" s="56"/>
      <c r="J291" s="56"/>
      <c r="K291" s="56"/>
      <c r="Q291" s="22"/>
      <c r="R291" s="182"/>
    </row>
    <row r="292" spans="2:18" ht="14.4">
      <c r="B292" s="66"/>
      <c r="G292" s="56"/>
      <c r="H292" s="56"/>
      <c r="I292" s="56"/>
      <c r="J292" s="56"/>
      <c r="K292" s="56"/>
      <c r="Q292" s="22"/>
      <c r="R292" s="182"/>
    </row>
    <row r="293" spans="2:18" ht="14.4">
      <c r="B293" s="66"/>
      <c r="G293" s="56"/>
      <c r="H293" s="56"/>
      <c r="I293" s="56"/>
      <c r="J293" s="56"/>
      <c r="K293" s="56"/>
      <c r="Q293" s="22"/>
      <c r="R293" s="182"/>
    </row>
    <row r="294" spans="2:18" ht="14.4">
      <c r="B294" s="66"/>
      <c r="G294" s="56"/>
      <c r="H294" s="56"/>
      <c r="I294" s="56"/>
      <c r="J294" s="56"/>
      <c r="K294" s="56"/>
      <c r="Q294" s="22"/>
      <c r="R294" s="182"/>
    </row>
    <row r="295" spans="2:18" ht="14.4">
      <c r="B295" s="66"/>
      <c r="G295" s="56"/>
      <c r="H295" s="56"/>
      <c r="I295" s="56"/>
      <c r="J295" s="56"/>
      <c r="K295" s="56"/>
      <c r="Q295" s="22"/>
      <c r="R295" s="182"/>
    </row>
    <row r="296" spans="2:18" ht="14.4">
      <c r="B296" s="66"/>
      <c r="G296" s="56"/>
      <c r="H296" s="56"/>
      <c r="I296" s="56"/>
      <c r="J296" s="56"/>
      <c r="K296" s="56"/>
      <c r="Q296" s="22"/>
      <c r="R296" s="182"/>
    </row>
    <row r="297" spans="2:18" ht="14.4">
      <c r="B297" s="66"/>
      <c r="G297" s="56"/>
      <c r="H297" s="56"/>
      <c r="I297" s="56"/>
      <c r="J297" s="56"/>
      <c r="K297" s="56"/>
      <c r="Q297" s="22"/>
      <c r="R297" s="182"/>
    </row>
    <row r="298" spans="2:18" ht="14.4">
      <c r="B298" s="66"/>
      <c r="G298" s="56"/>
      <c r="H298" s="56"/>
      <c r="I298" s="56"/>
      <c r="J298" s="56"/>
      <c r="K298" s="56"/>
      <c r="Q298" s="22"/>
      <c r="R298" s="182"/>
    </row>
    <row r="299" spans="2:18" ht="14.4">
      <c r="B299" s="66"/>
      <c r="G299" s="56"/>
      <c r="H299" s="56"/>
      <c r="I299" s="56"/>
      <c r="J299" s="56"/>
      <c r="K299" s="56"/>
      <c r="Q299" s="22"/>
      <c r="R299" s="182"/>
    </row>
    <row r="300" spans="2:18" ht="14.4">
      <c r="B300" s="66"/>
      <c r="G300" s="56"/>
      <c r="H300" s="56"/>
      <c r="I300" s="56"/>
      <c r="J300" s="56"/>
      <c r="K300" s="56"/>
      <c r="Q300" s="22"/>
      <c r="R300" s="182"/>
    </row>
    <row r="301" spans="2:18" ht="14.4">
      <c r="B301" s="66"/>
      <c r="G301" s="56"/>
      <c r="H301" s="56"/>
      <c r="I301" s="56"/>
      <c r="J301" s="56"/>
      <c r="K301" s="56"/>
      <c r="Q301" s="22"/>
      <c r="R301" s="182"/>
    </row>
    <row r="302" spans="2:18" ht="14.4">
      <c r="B302" s="66"/>
      <c r="G302" s="56"/>
      <c r="H302" s="56"/>
      <c r="I302" s="56"/>
      <c r="J302" s="56"/>
      <c r="K302" s="56"/>
      <c r="Q302" s="22"/>
      <c r="R302" s="182"/>
    </row>
    <row r="303" spans="2:18" ht="14.4">
      <c r="B303" s="66"/>
      <c r="G303" s="56"/>
      <c r="H303" s="56"/>
      <c r="I303" s="56"/>
      <c r="J303" s="56"/>
      <c r="K303" s="56"/>
      <c r="Q303" s="22"/>
      <c r="R303" s="182"/>
    </row>
    <row r="304" spans="2:18" ht="14.4">
      <c r="B304" s="66"/>
      <c r="G304" s="56"/>
      <c r="H304" s="56"/>
      <c r="I304" s="56"/>
      <c r="J304" s="56"/>
      <c r="K304" s="56"/>
      <c r="Q304" s="22"/>
      <c r="R304" s="182"/>
    </row>
    <row r="305" spans="2:18" ht="14.4">
      <c r="B305" s="66"/>
      <c r="G305" s="56"/>
      <c r="H305" s="56"/>
      <c r="I305" s="56"/>
      <c r="J305" s="56"/>
      <c r="K305" s="56"/>
      <c r="Q305" s="22"/>
      <c r="R305" s="182"/>
    </row>
    <row r="306" spans="2:18" ht="14.4">
      <c r="B306" s="66"/>
      <c r="G306" s="56"/>
      <c r="H306" s="56"/>
      <c r="I306" s="56"/>
      <c r="J306" s="56"/>
      <c r="K306" s="56"/>
      <c r="Q306" s="22"/>
      <c r="R306" s="182"/>
    </row>
    <row r="307" spans="2:18" ht="14.4">
      <c r="B307" s="66"/>
      <c r="G307" s="56"/>
      <c r="H307" s="56"/>
      <c r="I307" s="56"/>
      <c r="J307" s="56"/>
      <c r="K307" s="56"/>
      <c r="Q307" s="22"/>
      <c r="R307" s="182"/>
    </row>
    <row r="308" spans="2:18" ht="14.4">
      <c r="B308" s="66"/>
      <c r="G308" s="56"/>
      <c r="H308" s="56"/>
      <c r="I308" s="56"/>
      <c r="J308" s="56"/>
      <c r="K308" s="56"/>
      <c r="Q308" s="22"/>
      <c r="R308" s="182"/>
    </row>
    <row r="309" spans="2:18" ht="14.4">
      <c r="B309" s="66"/>
      <c r="G309" s="56"/>
      <c r="H309" s="56"/>
      <c r="I309" s="56"/>
      <c r="J309" s="56"/>
      <c r="K309" s="56"/>
      <c r="Q309" s="22"/>
      <c r="R309" s="182"/>
    </row>
    <row r="310" spans="2:18" ht="14.4">
      <c r="B310" s="66"/>
      <c r="G310" s="56"/>
      <c r="H310" s="56"/>
      <c r="I310" s="56"/>
      <c r="J310" s="56"/>
      <c r="K310" s="56"/>
      <c r="Q310" s="22"/>
      <c r="R310" s="182"/>
    </row>
    <row r="311" spans="2:18" ht="14.4">
      <c r="B311" s="66"/>
      <c r="G311" s="56"/>
      <c r="H311" s="56"/>
      <c r="I311" s="56"/>
      <c r="J311" s="56"/>
      <c r="K311" s="56"/>
      <c r="Q311" s="22"/>
      <c r="R311" s="182"/>
    </row>
    <row r="312" spans="2:18" ht="14.4">
      <c r="B312" s="66"/>
      <c r="G312" s="56"/>
      <c r="H312" s="56"/>
      <c r="I312" s="56"/>
      <c r="J312" s="56"/>
      <c r="K312" s="56"/>
      <c r="Q312" s="22"/>
      <c r="R312" s="182"/>
    </row>
    <row r="313" spans="2:18" ht="14.4">
      <c r="B313" s="66"/>
      <c r="G313" s="56"/>
      <c r="H313" s="56"/>
      <c r="I313" s="56"/>
      <c r="J313" s="56"/>
      <c r="K313" s="56"/>
      <c r="Q313" s="22"/>
      <c r="R313" s="182"/>
    </row>
    <row r="314" spans="2:18" ht="14.4">
      <c r="B314" s="66"/>
      <c r="G314" s="56"/>
      <c r="H314" s="56"/>
      <c r="I314" s="56"/>
      <c r="J314" s="56"/>
      <c r="K314" s="56"/>
      <c r="Q314" s="22"/>
      <c r="R314" s="182"/>
    </row>
    <row r="315" spans="2:18" ht="14.4">
      <c r="B315" s="66"/>
      <c r="G315" s="56"/>
      <c r="H315" s="56"/>
      <c r="I315" s="56"/>
      <c r="J315" s="56"/>
      <c r="K315" s="56"/>
      <c r="Q315" s="22"/>
      <c r="R315" s="182"/>
    </row>
    <row r="316" spans="2:18" ht="14.4">
      <c r="B316" s="66"/>
      <c r="G316" s="56"/>
      <c r="H316" s="56"/>
      <c r="I316" s="56"/>
      <c r="J316" s="56"/>
      <c r="K316" s="56"/>
      <c r="Q316" s="22"/>
      <c r="R316" s="182"/>
    </row>
    <row r="317" spans="2:18" ht="14.4">
      <c r="B317" s="66"/>
      <c r="G317" s="56"/>
      <c r="H317" s="56"/>
      <c r="I317" s="56"/>
      <c r="J317" s="56"/>
      <c r="K317" s="56"/>
      <c r="Q317" s="22"/>
      <c r="R317" s="182"/>
    </row>
    <row r="318" spans="2:18" ht="14.4">
      <c r="B318" s="66"/>
      <c r="G318" s="56"/>
      <c r="H318" s="56"/>
      <c r="I318" s="56"/>
      <c r="J318" s="56"/>
      <c r="K318" s="56"/>
      <c r="Q318" s="22"/>
      <c r="R318" s="182"/>
    </row>
    <row r="319" spans="2:18" ht="14.4">
      <c r="B319" s="66"/>
      <c r="G319" s="56"/>
      <c r="H319" s="56"/>
      <c r="I319" s="56"/>
      <c r="J319" s="56"/>
      <c r="K319" s="56"/>
      <c r="Q319" s="22"/>
      <c r="R319" s="182"/>
    </row>
    <row r="320" spans="2:18" ht="14.4">
      <c r="B320" s="66"/>
      <c r="G320" s="56"/>
      <c r="H320" s="56"/>
      <c r="I320" s="56"/>
      <c r="J320" s="56"/>
      <c r="K320" s="56"/>
      <c r="Q320" s="22"/>
      <c r="R320" s="182"/>
    </row>
    <row r="321" spans="2:18" ht="14.4">
      <c r="B321" s="66"/>
      <c r="G321" s="56"/>
      <c r="H321" s="56"/>
      <c r="I321" s="56"/>
      <c r="J321" s="56"/>
      <c r="K321" s="56"/>
      <c r="Q321" s="22"/>
      <c r="R321" s="182"/>
    </row>
    <row r="322" spans="2:18" ht="14.4">
      <c r="B322" s="66"/>
      <c r="G322" s="56"/>
      <c r="H322" s="56"/>
      <c r="I322" s="56"/>
      <c r="J322" s="56"/>
      <c r="K322" s="56"/>
      <c r="Q322" s="22"/>
      <c r="R322" s="182"/>
    </row>
    <row r="323" spans="2:18" ht="14.4">
      <c r="B323" s="66"/>
      <c r="G323" s="56"/>
      <c r="H323" s="56"/>
      <c r="I323" s="56"/>
      <c r="J323" s="56"/>
      <c r="K323" s="56"/>
      <c r="Q323" s="22"/>
      <c r="R323" s="182"/>
    </row>
    <row r="324" spans="2:18" ht="14.4">
      <c r="B324" s="66"/>
      <c r="G324" s="56"/>
      <c r="H324" s="56"/>
      <c r="I324" s="56"/>
      <c r="J324" s="56"/>
      <c r="K324" s="56"/>
      <c r="Q324" s="22"/>
      <c r="R324" s="182"/>
    </row>
    <row r="325" spans="2:18" ht="14.4">
      <c r="B325" s="66"/>
      <c r="G325" s="56"/>
      <c r="H325" s="56"/>
      <c r="I325" s="56"/>
      <c r="J325" s="56"/>
      <c r="K325" s="56"/>
      <c r="Q325" s="22"/>
      <c r="R325" s="182"/>
    </row>
    <row r="326" spans="2:18" ht="14.4">
      <c r="B326" s="66"/>
      <c r="G326" s="56"/>
      <c r="H326" s="56"/>
      <c r="I326" s="56"/>
      <c r="J326" s="56"/>
      <c r="K326" s="56"/>
      <c r="Q326" s="22"/>
      <c r="R326" s="182"/>
    </row>
    <row r="327" spans="2:18" ht="14.4">
      <c r="B327" s="66"/>
      <c r="G327" s="56"/>
      <c r="H327" s="56"/>
      <c r="I327" s="56"/>
      <c r="J327" s="56"/>
      <c r="K327" s="56"/>
      <c r="Q327" s="22"/>
      <c r="R327" s="182"/>
    </row>
    <row r="328" spans="2:18" ht="14.4">
      <c r="B328" s="66"/>
      <c r="G328" s="56"/>
      <c r="H328" s="56"/>
      <c r="I328" s="56"/>
      <c r="J328" s="56"/>
      <c r="K328" s="56"/>
      <c r="Q328" s="22"/>
      <c r="R328" s="182"/>
    </row>
    <row r="329" spans="2:18" ht="14.4">
      <c r="B329" s="66"/>
      <c r="G329" s="56"/>
      <c r="H329" s="56"/>
      <c r="I329" s="56"/>
      <c r="J329" s="56"/>
      <c r="K329" s="56"/>
      <c r="Q329" s="22"/>
      <c r="R329" s="182"/>
    </row>
    <row r="330" spans="2:18" ht="14.4">
      <c r="B330" s="66"/>
      <c r="G330" s="56"/>
      <c r="H330" s="56"/>
      <c r="I330" s="56"/>
      <c r="J330" s="56"/>
      <c r="K330" s="56"/>
      <c r="Q330" s="22"/>
      <c r="R330" s="182"/>
    </row>
    <row r="331" spans="2:18" ht="14.4">
      <c r="B331" s="66"/>
      <c r="G331" s="56"/>
      <c r="H331" s="56"/>
      <c r="I331" s="56"/>
      <c r="J331" s="56"/>
      <c r="K331" s="56"/>
      <c r="Q331" s="22"/>
      <c r="R331" s="182"/>
    </row>
    <row r="332" spans="2:18" ht="14.4">
      <c r="B332" s="66"/>
      <c r="G332" s="56"/>
      <c r="H332" s="56"/>
      <c r="I332" s="56"/>
      <c r="J332" s="56"/>
      <c r="K332" s="56"/>
      <c r="Q332" s="22"/>
      <c r="R332" s="182"/>
    </row>
    <row r="333" spans="2:18" ht="14.4">
      <c r="B333" s="66"/>
      <c r="G333" s="56"/>
      <c r="H333" s="56"/>
      <c r="I333" s="56"/>
      <c r="J333" s="56"/>
      <c r="K333" s="56"/>
      <c r="Q333" s="22"/>
      <c r="R333" s="182"/>
    </row>
    <row r="334" spans="2:18" ht="14.4">
      <c r="B334" s="66"/>
      <c r="G334" s="56"/>
      <c r="H334" s="56"/>
      <c r="I334" s="56"/>
      <c r="J334" s="56"/>
      <c r="K334" s="56"/>
      <c r="Q334" s="22"/>
      <c r="R334" s="182"/>
    </row>
    <row r="335" spans="2:18" ht="14.4">
      <c r="B335" s="66"/>
      <c r="G335" s="56"/>
      <c r="H335" s="56"/>
      <c r="I335" s="56"/>
      <c r="J335" s="56"/>
      <c r="K335" s="56"/>
      <c r="Q335" s="22"/>
      <c r="R335" s="182"/>
    </row>
    <row r="336" spans="2:18" ht="14.4">
      <c r="B336" s="66"/>
      <c r="G336" s="56"/>
      <c r="H336" s="56"/>
      <c r="I336" s="56"/>
      <c r="J336" s="56"/>
      <c r="K336" s="56"/>
      <c r="Q336" s="22"/>
      <c r="R336" s="182"/>
    </row>
    <row r="337" spans="2:18" ht="14.4">
      <c r="B337" s="66"/>
      <c r="G337" s="56"/>
      <c r="H337" s="56"/>
      <c r="I337" s="56"/>
      <c r="J337" s="56"/>
      <c r="K337" s="56"/>
      <c r="Q337" s="22"/>
      <c r="R337" s="182"/>
    </row>
    <row r="338" spans="2:18" ht="14.4">
      <c r="B338" s="66"/>
      <c r="G338" s="56"/>
      <c r="H338" s="56"/>
      <c r="I338" s="56"/>
      <c r="J338" s="56"/>
      <c r="K338" s="56"/>
      <c r="Q338" s="22"/>
      <c r="R338" s="182"/>
    </row>
    <row r="339" spans="2:18" ht="14.4">
      <c r="B339" s="66"/>
      <c r="G339" s="56"/>
      <c r="H339" s="56"/>
      <c r="I339" s="56"/>
      <c r="J339" s="56"/>
      <c r="K339" s="56"/>
      <c r="Q339" s="22"/>
      <c r="R339" s="182"/>
    </row>
    <row r="340" spans="2:18" ht="14.4">
      <c r="B340" s="66"/>
      <c r="G340" s="56"/>
      <c r="H340" s="56"/>
      <c r="I340" s="56"/>
      <c r="J340" s="56"/>
      <c r="K340" s="56"/>
      <c r="Q340" s="22"/>
      <c r="R340" s="182"/>
    </row>
    <row r="341" spans="2:18" ht="14.4">
      <c r="B341" s="66"/>
      <c r="G341" s="56"/>
      <c r="H341" s="56"/>
      <c r="I341" s="56"/>
      <c r="J341" s="56"/>
      <c r="K341" s="56"/>
      <c r="Q341" s="22"/>
      <c r="R341" s="182"/>
    </row>
    <row r="342" spans="2:18" ht="14.4">
      <c r="B342" s="66"/>
      <c r="G342" s="56"/>
      <c r="H342" s="56"/>
      <c r="I342" s="56"/>
      <c r="J342" s="56"/>
      <c r="K342" s="56"/>
      <c r="Q342" s="22"/>
      <c r="R342" s="182"/>
    </row>
    <row r="343" spans="2:18" ht="14.4">
      <c r="B343" s="66"/>
      <c r="G343" s="56"/>
      <c r="H343" s="56"/>
      <c r="I343" s="56"/>
      <c r="J343" s="56"/>
      <c r="K343" s="56"/>
      <c r="Q343" s="22"/>
      <c r="R343" s="182"/>
    </row>
    <row r="344" spans="2:18" ht="14.4">
      <c r="B344" s="66"/>
      <c r="G344" s="56"/>
      <c r="H344" s="56"/>
      <c r="I344" s="56"/>
      <c r="J344" s="56"/>
      <c r="K344" s="56"/>
      <c r="Q344" s="22"/>
      <c r="R344" s="182"/>
    </row>
    <row r="345" spans="2:18" ht="14.4">
      <c r="B345" s="66"/>
      <c r="G345" s="56"/>
      <c r="H345" s="56"/>
      <c r="I345" s="56"/>
      <c r="J345" s="56"/>
      <c r="K345" s="56"/>
      <c r="Q345" s="22"/>
      <c r="R345" s="182"/>
    </row>
    <row r="346" spans="2:18" ht="14.4">
      <c r="B346" s="66"/>
      <c r="G346" s="56"/>
      <c r="H346" s="56"/>
      <c r="I346" s="56"/>
      <c r="J346" s="56"/>
      <c r="K346" s="56"/>
      <c r="Q346" s="22"/>
      <c r="R346" s="182"/>
    </row>
    <row r="347" spans="2:18" ht="14.4">
      <c r="B347" s="66"/>
      <c r="G347" s="56"/>
      <c r="H347" s="56"/>
      <c r="I347" s="56"/>
      <c r="J347" s="56"/>
      <c r="K347" s="56"/>
      <c r="Q347" s="22"/>
      <c r="R347" s="182"/>
    </row>
    <row r="348" spans="2:18" ht="14.4">
      <c r="B348" s="66"/>
      <c r="G348" s="56"/>
      <c r="H348" s="56"/>
      <c r="I348" s="56"/>
      <c r="J348" s="56"/>
      <c r="K348" s="56"/>
      <c r="Q348" s="22"/>
      <c r="R348" s="182"/>
    </row>
    <row r="349" spans="2:18" ht="14.4">
      <c r="B349" s="66"/>
      <c r="G349" s="56"/>
      <c r="H349" s="56"/>
      <c r="I349" s="56"/>
      <c r="J349" s="56"/>
      <c r="K349" s="56"/>
      <c r="Q349" s="22"/>
      <c r="R349" s="182"/>
    </row>
    <row r="350" spans="2:18" ht="14.4">
      <c r="B350" s="66"/>
      <c r="G350" s="56"/>
      <c r="H350" s="56"/>
      <c r="I350" s="56"/>
      <c r="J350" s="56"/>
      <c r="K350" s="56"/>
      <c r="Q350" s="22"/>
      <c r="R350" s="182"/>
    </row>
    <row r="351" spans="2:18" ht="14.4">
      <c r="B351" s="66"/>
      <c r="G351" s="56"/>
      <c r="H351" s="56"/>
      <c r="I351" s="56"/>
      <c r="J351" s="56"/>
      <c r="K351" s="56"/>
      <c r="Q351" s="22"/>
      <c r="R351" s="182"/>
    </row>
    <row r="352" spans="2:18" ht="14.4">
      <c r="B352" s="66"/>
      <c r="G352" s="56"/>
      <c r="H352" s="56"/>
      <c r="I352" s="56"/>
      <c r="J352" s="56"/>
      <c r="K352" s="56"/>
      <c r="Q352" s="22"/>
      <c r="R352" s="182"/>
    </row>
    <row r="353" spans="2:18" ht="14.4">
      <c r="B353" s="66"/>
      <c r="G353" s="56"/>
      <c r="H353" s="56"/>
      <c r="I353" s="56"/>
      <c r="J353" s="56"/>
      <c r="K353" s="56"/>
      <c r="Q353" s="22"/>
      <c r="R353" s="182"/>
    </row>
    <row r="354" spans="2:18" ht="14.4">
      <c r="B354" s="66"/>
      <c r="G354" s="56"/>
      <c r="H354" s="56"/>
      <c r="I354" s="56"/>
      <c r="J354" s="56"/>
      <c r="K354" s="56"/>
      <c r="Q354" s="22"/>
      <c r="R354" s="182"/>
    </row>
    <row r="355" spans="2:18" ht="14.4">
      <c r="B355" s="66"/>
      <c r="G355" s="56"/>
      <c r="H355" s="56"/>
      <c r="I355" s="56"/>
      <c r="J355" s="56"/>
      <c r="K355" s="56"/>
      <c r="Q355" s="22"/>
      <c r="R355" s="182"/>
    </row>
    <row r="356" spans="2:18" ht="14.4">
      <c r="B356" s="66"/>
      <c r="G356" s="56"/>
      <c r="H356" s="56"/>
      <c r="I356" s="56"/>
      <c r="J356" s="56"/>
      <c r="K356" s="56"/>
      <c r="Q356" s="22"/>
      <c r="R356" s="182"/>
    </row>
    <row r="357" spans="2:18" ht="14.4">
      <c r="B357" s="66"/>
      <c r="G357" s="56"/>
      <c r="H357" s="56"/>
      <c r="I357" s="56"/>
      <c r="J357" s="56"/>
      <c r="K357" s="56"/>
      <c r="Q357" s="22"/>
      <c r="R357" s="182"/>
    </row>
    <row r="358" spans="2:18" ht="14.4">
      <c r="B358" s="66"/>
      <c r="G358" s="56"/>
      <c r="H358" s="56"/>
      <c r="I358" s="56"/>
      <c r="J358" s="56"/>
      <c r="K358" s="56"/>
      <c r="Q358" s="22"/>
      <c r="R358" s="182"/>
    </row>
    <row r="359" spans="2:18" ht="14.4">
      <c r="B359" s="66"/>
      <c r="G359" s="56"/>
      <c r="H359" s="56"/>
      <c r="I359" s="56"/>
      <c r="J359" s="56"/>
      <c r="K359" s="56"/>
      <c r="Q359" s="22"/>
      <c r="R359" s="182"/>
    </row>
    <row r="360" spans="2:18" ht="14.4">
      <c r="B360" s="66"/>
      <c r="G360" s="56"/>
      <c r="H360" s="56"/>
      <c r="I360" s="56"/>
      <c r="J360" s="56"/>
      <c r="K360" s="56"/>
      <c r="Q360" s="22"/>
      <c r="R360" s="182"/>
    </row>
    <row r="361" spans="2:18" ht="14.4">
      <c r="B361" s="66"/>
      <c r="G361" s="56"/>
      <c r="H361" s="56"/>
      <c r="I361" s="56"/>
      <c r="J361" s="56"/>
      <c r="K361" s="56"/>
      <c r="Q361" s="22"/>
      <c r="R361" s="182"/>
    </row>
    <row r="362" spans="2:18" ht="14.4">
      <c r="B362" s="66"/>
      <c r="G362" s="56"/>
      <c r="H362" s="56"/>
      <c r="I362" s="56"/>
      <c r="J362" s="56"/>
      <c r="K362" s="56"/>
      <c r="Q362" s="22"/>
      <c r="R362" s="182"/>
    </row>
    <row r="363" spans="2:18" ht="14.4">
      <c r="B363" s="66"/>
      <c r="G363" s="56"/>
      <c r="H363" s="56"/>
      <c r="I363" s="56"/>
      <c r="J363" s="56"/>
      <c r="K363" s="56"/>
      <c r="Q363" s="22"/>
      <c r="R363" s="182"/>
    </row>
    <row r="364" spans="2:18" ht="14.4">
      <c r="B364" s="66"/>
      <c r="G364" s="56"/>
      <c r="H364" s="56"/>
      <c r="I364" s="56"/>
      <c r="J364" s="56"/>
      <c r="K364" s="56"/>
      <c r="Q364" s="22"/>
      <c r="R364" s="182"/>
    </row>
    <row r="365" spans="2:18" ht="14.4">
      <c r="B365" s="66"/>
      <c r="G365" s="56"/>
      <c r="H365" s="56"/>
      <c r="I365" s="56"/>
      <c r="J365" s="56"/>
      <c r="K365" s="56"/>
      <c r="Q365" s="22"/>
      <c r="R365" s="182"/>
    </row>
    <row r="366" spans="2:18" ht="14.4">
      <c r="B366" s="66"/>
      <c r="G366" s="56"/>
      <c r="H366" s="56"/>
      <c r="I366" s="56"/>
      <c r="J366" s="56"/>
      <c r="K366" s="56"/>
      <c r="Q366" s="22"/>
      <c r="R366" s="182"/>
    </row>
    <row r="367" spans="2:18" ht="14.4">
      <c r="B367" s="66"/>
      <c r="G367" s="56"/>
      <c r="H367" s="56"/>
      <c r="I367" s="56"/>
      <c r="J367" s="56"/>
      <c r="K367" s="56"/>
      <c r="Q367" s="22"/>
      <c r="R367" s="182"/>
    </row>
    <row r="368" spans="2:18" ht="14.4">
      <c r="B368" s="66"/>
      <c r="G368" s="56"/>
      <c r="H368" s="56"/>
      <c r="I368" s="56"/>
      <c r="J368" s="56"/>
      <c r="K368" s="56"/>
      <c r="Q368" s="22"/>
      <c r="R368" s="182"/>
    </row>
    <row r="369" spans="2:18" ht="14.4">
      <c r="B369" s="66"/>
      <c r="G369" s="56"/>
      <c r="H369" s="56"/>
      <c r="I369" s="56"/>
      <c r="J369" s="56"/>
      <c r="K369" s="56"/>
      <c r="Q369" s="22"/>
      <c r="R369" s="182"/>
    </row>
    <row r="370" spans="2:18" ht="14.4">
      <c r="B370" s="66"/>
      <c r="G370" s="56"/>
      <c r="H370" s="56"/>
      <c r="I370" s="56"/>
      <c r="J370" s="56"/>
      <c r="K370" s="56"/>
      <c r="Q370" s="22"/>
      <c r="R370" s="182"/>
    </row>
    <row r="371" spans="2:18" ht="14.4">
      <c r="B371" s="66"/>
      <c r="G371" s="56"/>
      <c r="H371" s="56"/>
      <c r="I371" s="56"/>
      <c r="J371" s="56"/>
      <c r="K371" s="56"/>
      <c r="Q371" s="22"/>
      <c r="R371" s="182"/>
    </row>
    <row r="372" spans="2:18" ht="14.4">
      <c r="B372" s="66"/>
      <c r="G372" s="56"/>
      <c r="H372" s="56"/>
      <c r="I372" s="56"/>
      <c r="J372" s="56"/>
      <c r="K372" s="56"/>
      <c r="Q372" s="22"/>
      <c r="R372" s="182"/>
    </row>
    <row r="373" spans="2:18" ht="14.4">
      <c r="B373" s="66"/>
      <c r="G373" s="56"/>
      <c r="H373" s="56"/>
      <c r="I373" s="56"/>
      <c r="J373" s="56"/>
      <c r="K373" s="56"/>
      <c r="Q373" s="22"/>
      <c r="R373" s="182"/>
    </row>
    <row r="374" spans="2:18" ht="14.4">
      <c r="B374" s="66"/>
      <c r="G374" s="56"/>
      <c r="H374" s="56"/>
      <c r="I374" s="56"/>
      <c r="J374" s="56"/>
      <c r="K374" s="56"/>
      <c r="Q374" s="22"/>
      <c r="R374" s="182"/>
    </row>
    <row r="375" spans="2:18" ht="14.4">
      <c r="B375" s="66"/>
      <c r="G375" s="56"/>
      <c r="H375" s="56"/>
      <c r="I375" s="56"/>
      <c r="J375" s="56"/>
      <c r="K375" s="56"/>
      <c r="Q375" s="22"/>
      <c r="R375" s="182"/>
    </row>
    <row r="376" spans="2:18" ht="14.4">
      <c r="B376" s="66"/>
      <c r="G376" s="56"/>
      <c r="H376" s="56"/>
      <c r="I376" s="56"/>
      <c r="J376" s="56"/>
      <c r="K376" s="56"/>
      <c r="Q376" s="22"/>
      <c r="R376" s="182"/>
    </row>
    <row r="377" spans="2:18" ht="14.4">
      <c r="B377" s="66"/>
      <c r="G377" s="56"/>
      <c r="H377" s="56"/>
      <c r="I377" s="56"/>
      <c r="J377" s="56"/>
      <c r="K377" s="56"/>
      <c r="Q377" s="22"/>
      <c r="R377" s="182"/>
    </row>
    <row r="378" spans="2:18" ht="14.4">
      <c r="B378" s="66"/>
      <c r="G378" s="56"/>
      <c r="H378" s="56"/>
      <c r="I378" s="56"/>
      <c r="J378" s="56"/>
      <c r="K378" s="56"/>
      <c r="Q378" s="22"/>
      <c r="R378" s="182"/>
    </row>
    <row r="379" spans="2:18" ht="14.4">
      <c r="B379" s="66"/>
      <c r="G379" s="56"/>
      <c r="H379" s="56"/>
      <c r="I379" s="56"/>
      <c r="J379" s="56"/>
      <c r="K379" s="56"/>
      <c r="Q379" s="22"/>
      <c r="R379" s="182"/>
    </row>
    <row r="380" spans="2:18" ht="14.4">
      <c r="B380" s="66"/>
      <c r="G380" s="56"/>
      <c r="H380" s="56"/>
      <c r="I380" s="56"/>
      <c r="J380" s="56"/>
      <c r="K380" s="56"/>
      <c r="Q380" s="22"/>
      <c r="R380" s="182"/>
    </row>
    <row r="381" spans="2:18" ht="14.4">
      <c r="B381" s="66"/>
      <c r="G381" s="56"/>
      <c r="H381" s="56"/>
      <c r="I381" s="56"/>
      <c r="J381" s="56"/>
      <c r="K381" s="56"/>
      <c r="Q381" s="22"/>
      <c r="R381" s="182"/>
    </row>
    <row r="382" spans="2:18" ht="14.4">
      <c r="B382" s="66"/>
      <c r="G382" s="56"/>
      <c r="H382" s="56"/>
      <c r="I382" s="56"/>
      <c r="J382" s="56"/>
      <c r="K382" s="56"/>
      <c r="Q382" s="22"/>
      <c r="R382" s="182"/>
    </row>
    <row r="383" spans="2:18" ht="14.4">
      <c r="B383" s="66"/>
      <c r="G383" s="56"/>
      <c r="H383" s="56"/>
      <c r="I383" s="56"/>
      <c r="J383" s="56"/>
      <c r="K383" s="56"/>
      <c r="Q383" s="22"/>
      <c r="R383" s="182"/>
    </row>
    <row r="384" spans="2:18" ht="14.4">
      <c r="B384" s="66"/>
      <c r="G384" s="56"/>
      <c r="H384" s="56"/>
      <c r="I384" s="56"/>
      <c r="J384" s="56"/>
      <c r="K384" s="56"/>
      <c r="Q384" s="22"/>
      <c r="R384" s="182"/>
    </row>
    <row r="385" spans="2:18" ht="14.4">
      <c r="B385" s="66"/>
      <c r="G385" s="56"/>
      <c r="H385" s="56"/>
      <c r="I385" s="56"/>
      <c r="J385" s="56"/>
      <c r="K385" s="56"/>
      <c r="Q385" s="22"/>
      <c r="R385" s="182"/>
    </row>
    <row r="386" spans="2:18" ht="14.4">
      <c r="B386" s="66"/>
      <c r="G386" s="56"/>
      <c r="H386" s="56"/>
      <c r="I386" s="56"/>
      <c r="J386" s="56"/>
      <c r="K386" s="56"/>
      <c r="Q386" s="22"/>
      <c r="R386" s="182"/>
    </row>
    <row r="387" spans="2:18" ht="14.4">
      <c r="B387" s="66"/>
      <c r="G387" s="56"/>
      <c r="H387" s="56"/>
      <c r="I387" s="56"/>
      <c r="J387" s="56"/>
      <c r="K387" s="56"/>
      <c r="Q387" s="22"/>
      <c r="R387" s="182"/>
    </row>
    <row r="388" spans="2:18" ht="14.4">
      <c r="B388" s="66"/>
      <c r="G388" s="56"/>
      <c r="H388" s="56"/>
      <c r="I388" s="56"/>
      <c r="J388" s="56"/>
      <c r="K388" s="56"/>
      <c r="Q388" s="22"/>
      <c r="R388" s="182"/>
    </row>
    <row r="389" spans="2:18" ht="14.4">
      <c r="B389" s="66"/>
      <c r="G389" s="56"/>
      <c r="H389" s="56"/>
      <c r="I389" s="56"/>
      <c r="J389" s="56"/>
      <c r="K389" s="56"/>
      <c r="Q389" s="22"/>
      <c r="R389" s="182"/>
    </row>
    <row r="390" spans="2:18" ht="14.4">
      <c r="B390" s="66"/>
      <c r="G390" s="56"/>
      <c r="H390" s="56"/>
      <c r="I390" s="56"/>
      <c r="J390" s="56"/>
      <c r="K390" s="56"/>
      <c r="Q390" s="22"/>
      <c r="R390" s="182"/>
    </row>
    <row r="391" spans="2:18" ht="14.4">
      <c r="B391" s="66"/>
      <c r="G391" s="56"/>
      <c r="H391" s="56"/>
      <c r="I391" s="56"/>
      <c r="J391" s="56"/>
      <c r="K391" s="56"/>
      <c r="Q391" s="22"/>
      <c r="R391" s="182"/>
    </row>
    <row r="392" spans="2:18" ht="14.4">
      <c r="B392" s="66"/>
      <c r="G392" s="56"/>
      <c r="H392" s="56"/>
      <c r="I392" s="56"/>
      <c r="J392" s="56"/>
      <c r="K392" s="56"/>
      <c r="Q392" s="22"/>
      <c r="R392" s="182"/>
    </row>
    <row r="393" spans="2:18" ht="14.4">
      <c r="B393" s="66"/>
      <c r="G393" s="56"/>
      <c r="H393" s="56"/>
      <c r="I393" s="56"/>
      <c r="J393" s="56"/>
      <c r="K393" s="56"/>
      <c r="Q393" s="22"/>
      <c r="R393" s="182"/>
    </row>
    <row r="394" spans="2:18" ht="14.4">
      <c r="B394" s="66"/>
      <c r="G394" s="56"/>
      <c r="H394" s="56"/>
      <c r="I394" s="56"/>
      <c r="J394" s="56"/>
      <c r="K394" s="56"/>
      <c r="Q394" s="22"/>
      <c r="R394" s="182"/>
    </row>
    <row r="395" spans="2:18" ht="14.4">
      <c r="B395" s="66"/>
      <c r="G395" s="56"/>
      <c r="H395" s="56"/>
      <c r="I395" s="56"/>
      <c r="J395" s="56"/>
      <c r="K395" s="56"/>
      <c r="Q395" s="22"/>
      <c r="R395" s="182"/>
    </row>
    <row r="396" spans="2:18" ht="14.4">
      <c r="B396" s="66"/>
      <c r="G396" s="56"/>
      <c r="H396" s="56"/>
      <c r="I396" s="56"/>
      <c r="J396" s="56"/>
      <c r="K396" s="56"/>
      <c r="Q396" s="22"/>
      <c r="R396" s="182"/>
    </row>
    <row r="397" spans="2:18" ht="14.4">
      <c r="B397" s="66"/>
      <c r="G397" s="56"/>
      <c r="H397" s="56"/>
      <c r="I397" s="56"/>
      <c r="J397" s="56"/>
      <c r="K397" s="56"/>
      <c r="Q397" s="22"/>
      <c r="R397" s="182"/>
    </row>
    <row r="398" spans="2:18" ht="14.4">
      <c r="B398" s="66"/>
      <c r="G398" s="56"/>
      <c r="H398" s="56"/>
      <c r="I398" s="56"/>
      <c r="J398" s="56"/>
      <c r="K398" s="56"/>
      <c r="Q398" s="22"/>
      <c r="R398" s="182"/>
    </row>
    <row r="399" spans="2:18" ht="14.4">
      <c r="B399" s="66"/>
      <c r="G399" s="56"/>
      <c r="H399" s="56"/>
      <c r="I399" s="56"/>
      <c r="J399" s="56"/>
      <c r="K399" s="56"/>
      <c r="Q399" s="22"/>
      <c r="R399" s="182"/>
    </row>
    <row r="400" spans="2:18" ht="14.4">
      <c r="B400" s="66"/>
      <c r="G400" s="56"/>
      <c r="H400" s="56"/>
      <c r="I400" s="56"/>
      <c r="J400" s="56"/>
      <c r="K400" s="56"/>
      <c r="Q400" s="22"/>
      <c r="R400" s="182"/>
    </row>
    <row r="401" spans="2:18" ht="14.4">
      <c r="B401" s="66"/>
      <c r="G401" s="56"/>
      <c r="H401" s="56"/>
      <c r="I401" s="56"/>
      <c r="J401" s="56"/>
      <c r="K401" s="56"/>
      <c r="Q401" s="22"/>
      <c r="R401" s="182"/>
    </row>
    <row r="402" spans="2:18" ht="14.4">
      <c r="B402" s="66"/>
      <c r="G402" s="56"/>
      <c r="H402" s="56"/>
      <c r="I402" s="56"/>
      <c r="J402" s="56"/>
      <c r="K402" s="56"/>
      <c r="Q402" s="22"/>
      <c r="R402" s="182"/>
    </row>
    <row r="403" spans="2:18" ht="14.4">
      <c r="B403" s="66"/>
      <c r="G403" s="56"/>
      <c r="H403" s="56"/>
      <c r="I403" s="56"/>
      <c r="J403" s="56"/>
      <c r="K403" s="56"/>
      <c r="Q403" s="22"/>
      <c r="R403" s="182"/>
    </row>
    <row r="404" spans="2:18" ht="14.4">
      <c r="B404" s="66"/>
      <c r="G404" s="56"/>
      <c r="H404" s="56"/>
      <c r="I404" s="56"/>
      <c r="J404" s="56"/>
      <c r="K404" s="56"/>
      <c r="Q404" s="22"/>
      <c r="R404" s="182"/>
    </row>
    <row r="405" spans="2:18" ht="14.4">
      <c r="B405" s="66"/>
      <c r="G405" s="56"/>
      <c r="H405" s="56"/>
      <c r="I405" s="56"/>
      <c r="J405" s="56"/>
      <c r="K405" s="56"/>
      <c r="Q405" s="22"/>
      <c r="R405" s="182"/>
    </row>
    <row r="406" spans="2:18" ht="14.4">
      <c r="B406" s="66"/>
      <c r="G406" s="56"/>
      <c r="H406" s="56"/>
      <c r="I406" s="56"/>
      <c r="J406" s="56"/>
      <c r="K406" s="56"/>
      <c r="Q406" s="22"/>
      <c r="R406" s="182"/>
    </row>
    <row r="407" spans="2:18" ht="14.4">
      <c r="B407" s="66"/>
      <c r="G407" s="56"/>
      <c r="H407" s="56"/>
      <c r="I407" s="56"/>
      <c r="J407" s="56"/>
      <c r="K407" s="56"/>
      <c r="Q407" s="22"/>
      <c r="R407" s="182"/>
    </row>
    <row r="408" spans="2:18" ht="14.4">
      <c r="B408" s="66"/>
      <c r="G408" s="56"/>
      <c r="H408" s="56"/>
      <c r="I408" s="56"/>
      <c r="J408" s="56"/>
      <c r="K408" s="56"/>
      <c r="Q408" s="22"/>
      <c r="R408" s="182"/>
    </row>
    <row r="409" spans="2:18" ht="14.4">
      <c r="B409" s="66"/>
      <c r="G409" s="56"/>
      <c r="H409" s="56"/>
      <c r="I409" s="56"/>
      <c r="J409" s="56"/>
      <c r="K409" s="56"/>
      <c r="Q409" s="22"/>
      <c r="R409" s="182"/>
    </row>
    <row r="410" spans="2:18" ht="14.4">
      <c r="B410" s="66"/>
      <c r="G410" s="56"/>
      <c r="H410" s="56"/>
      <c r="I410" s="56"/>
      <c r="J410" s="56"/>
      <c r="K410" s="56"/>
      <c r="Q410" s="22"/>
      <c r="R410" s="182"/>
    </row>
    <row r="411" spans="2:18" ht="14.4">
      <c r="B411" s="66"/>
      <c r="G411" s="56"/>
      <c r="H411" s="56"/>
      <c r="I411" s="56"/>
      <c r="J411" s="56"/>
      <c r="K411" s="56"/>
      <c r="Q411" s="22"/>
      <c r="R411" s="182"/>
    </row>
    <row r="412" spans="2:18" ht="14.4">
      <c r="B412" s="66"/>
      <c r="G412" s="56"/>
      <c r="H412" s="56"/>
      <c r="I412" s="56"/>
      <c r="J412" s="56"/>
      <c r="K412" s="56"/>
      <c r="Q412" s="22"/>
      <c r="R412" s="182"/>
    </row>
    <row r="413" spans="2:18" ht="14.4">
      <c r="B413" s="66"/>
      <c r="G413" s="56"/>
      <c r="H413" s="56"/>
      <c r="I413" s="56"/>
      <c r="J413" s="56"/>
      <c r="K413" s="56"/>
      <c r="Q413" s="22"/>
      <c r="R413" s="182"/>
    </row>
    <row r="414" spans="2:18" ht="14.4">
      <c r="B414" s="66"/>
      <c r="G414" s="56"/>
      <c r="H414" s="56"/>
      <c r="I414" s="56"/>
      <c r="J414" s="56"/>
      <c r="K414" s="56"/>
      <c r="Q414" s="22"/>
      <c r="R414" s="182"/>
    </row>
    <row r="415" spans="2:18" ht="14.4">
      <c r="B415" s="66"/>
      <c r="G415" s="56"/>
      <c r="H415" s="56"/>
      <c r="I415" s="56"/>
      <c r="J415" s="56"/>
      <c r="K415" s="56"/>
      <c r="Q415" s="22"/>
      <c r="R415" s="182"/>
    </row>
    <row r="416" spans="2:18" ht="14.4">
      <c r="B416" s="66"/>
      <c r="G416" s="56"/>
      <c r="H416" s="56"/>
      <c r="I416" s="56"/>
      <c r="J416" s="56"/>
      <c r="K416" s="56"/>
      <c r="Q416" s="22"/>
      <c r="R416" s="182"/>
    </row>
    <row r="417" spans="2:18" ht="14.4">
      <c r="B417" s="66"/>
      <c r="G417" s="56"/>
      <c r="H417" s="56"/>
      <c r="I417" s="56"/>
      <c r="J417" s="56"/>
      <c r="K417" s="56"/>
      <c r="Q417" s="22"/>
      <c r="R417" s="182"/>
    </row>
    <row r="418" spans="2:18" ht="14.4">
      <c r="B418" s="66"/>
      <c r="G418" s="56"/>
      <c r="H418" s="56"/>
      <c r="I418" s="56"/>
      <c r="J418" s="56"/>
      <c r="K418" s="56"/>
      <c r="Q418" s="22"/>
      <c r="R418" s="182"/>
    </row>
    <row r="419" spans="2:18" ht="14.4">
      <c r="B419" s="66"/>
      <c r="G419" s="56"/>
      <c r="H419" s="56"/>
      <c r="I419" s="56"/>
      <c r="J419" s="56"/>
      <c r="K419" s="56"/>
      <c r="Q419" s="22"/>
      <c r="R419" s="182"/>
    </row>
    <row r="420" spans="2:18" ht="14.4">
      <c r="B420" s="66"/>
      <c r="G420" s="56"/>
      <c r="H420" s="56"/>
      <c r="I420" s="56"/>
      <c r="J420" s="56"/>
      <c r="K420" s="56"/>
      <c r="Q420" s="22"/>
      <c r="R420" s="182"/>
    </row>
    <row r="421" spans="2:18" ht="14.4">
      <c r="B421" s="66"/>
      <c r="G421" s="56"/>
      <c r="H421" s="56"/>
      <c r="I421" s="56"/>
      <c r="J421" s="56"/>
      <c r="K421" s="56"/>
      <c r="Q421" s="22"/>
      <c r="R421" s="182"/>
    </row>
    <row r="422" spans="2:18" ht="14.4">
      <c r="B422" s="66"/>
      <c r="G422" s="56"/>
      <c r="H422" s="56"/>
      <c r="I422" s="56"/>
      <c r="J422" s="56"/>
      <c r="K422" s="56"/>
      <c r="Q422" s="22"/>
      <c r="R422" s="182"/>
    </row>
    <row r="423" spans="2:18" ht="14.4">
      <c r="B423" s="66"/>
      <c r="G423" s="56"/>
      <c r="H423" s="56"/>
      <c r="I423" s="56"/>
      <c r="J423" s="56"/>
      <c r="K423" s="56"/>
      <c r="Q423" s="22"/>
      <c r="R423" s="182"/>
    </row>
    <row r="424" spans="2:18" ht="14.4">
      <c r="B424" s="66"/>
      <c r="G424" s="56"/>
      <c r="H424" s="56"/>
      <c r="I424" s="56"/>
      <c r="J424" s="56"/>
      <c r="K424" s="56"/>
      <c r="Q424" s="22"/>
      <c r="R424" s="182"/>
    </row>
    <row r="425" spans="2:18" ht="14.4">
      <c r="B425" s="66"/>
      <c r="G425" s="56"/>
      <c r="H425" s="56"/>
      <c r="I425" s="56"/>
      <c r="J425" s="56"/>
      <c r="K425" s="56"/>
      <c r="Q425" s="22"/>
      <c r="R425" s="182"/>
    </row>
    <row r="426" spans="2:18" ht="14.4">
      <c r="B426" s="66"/>
      <c r="G426" s="56"/>
      <c r="H426" s="56"/>
      <c r="I426" s="56"/>
      <c r="J426" s="56"/>
      <c r="K426" s="56"/>
      <c r="Q426" s="22"/>
      <c r="R426" s="182"/>
    </row>
    <row r="427" spans="2:18" ht="14.4">
      <c r="B427" s="66"/>
      <c r="G427" s="56"/>
      <c r="H427" s="56"/>
      <c r="I427" s="56"/>
      <c r="J427" s="56"/>
      <c r="K427" s="56"/>
      <c r="Q427" s="22"/>
      <c r="R427" s="182"/>
    </row>
    <row r="428" spans="2:18" ht="14.4">
      <c r="B428" s="66"/>
      <c r="G428" s="56"/>
      <c r="H428" s="56"/>
      <c r="I428" s="56"/>
      <c r="J428" s="56"/>
      <c r="K428" s="56"/>
      <c r="Q428" s="22"/>
      <c r="R428" s="182"/>
    </row>
    <row r="429" spans="2:18" ht="14.4">
      <c r="B429" s="66"/>
      <c r="G429" s="56"/>
      <c r="H429" s="56"/>
      <c r="I429" s="56"/>
      <c r="J429" s="56"/>
      <c r="K429" s="56"/>
      <c r="Q429" s="22"/>
      <c r="R429" s="182"/>
    </row>
    <row r="430" spans="2:18" ht="14.4">
      <c r="B430" s="66"/>
      <c r="G430" s="56"/>
      <c r="H430" s="56"/>
      <c r="I430" s="56"/>
      <c r="J430" s="56"/>
      <c r="K430" s="56"/>
      <c r="Q430" s="22"/>
      <c r="R430" s="182"/>
    </row>
    <row r="431" spans="2:18" ht="14.4">
      <c r="B431" s="66"/>
      <c r="G431" s="56"/>
      <c r="H431" s="56"/>
      <c r="I431" s="56"/>
      <c r="J431" s="56"/>
      <c r="K431" s="56"/>
      <c r="Q431" s="22"/>
      <c r="R431" s="182"/>
    </row>
    <row r="432" spans="2:18" ht="14.4">
      <c r="B432" s="66"/>
      <c r="G432" s="56"/>
      <c r="H432" s="56"/>
      <c r="I432" s="56"/>
      <c r="J432" s="56"/>
      <c r="K432" s="56"/>
      <c r="Q432" s="22"/>
      <c r="R432" s="182"/>
    </row>
    <row r="433" spans="2:18" ht="14.4">
      <c r="B433" s="66"/>
      <c r="G433" s="56"/>
      <c r="H433" s="56"/>
      <c r="I433" s="56"/>
      <c r="J433" s="56"/>
      <c r="K433" s="56"/>
      <c r="Q433" s="22"/>
      <c r="R433" s="182"/>
    </row>
    <row r="434" spans="2:18" ht="14.4">
      <c r="B434" s="66"/>
      <c r="G434" s="56"/>
      <c r="H434" s="56"/>
      <c r="I434" s="56"/>
      <c r="J434" s="56"/>
      <c r="K434" s="56"/>
      <c r="Q434" s="22"/>
      <c r="R434" s="182"/>
    </row>
    <row r="435" spans="2:18" ht="14.4">
      <c r="B435" s="66"/>
      <c r="G435" s="56"/>
      <c r="H435" s="56"/>
      <c r="I435" s="56"/>
      <c r="J435" s="56"/>
      <c r="K435" s="56"/>
      <c r="Q435" s="22"/>
      <c r="R435" s="182"/>
    </row>
    <row r="436" spans="2:18" ht="14.4">
      <c r="B436" s="66"/>
      <c r="G436" s="56"/>
      <c r="H436" s="56"/>
      <c r="I436" s="56"/>
      <c r="J436" s="56"/>
      <c r="K436" s="56"/>
      <c r="Q436" s="22"/>
      <c r="R436" s="182"/>
    </row>
    <row r="437" spans="2:18" ht="14.4">
      <c r="B437" s="66"/>
      <c r="G437" s="56"/>
      <c r="H437" s="56"/>
      <c r="I437" s="56"/>
      <c r="J437" s="56"/>
      <c r="K437" s="56"/>
      <c r="Q437" s="22"/>
      <c r="R437" s="182"/>
    </row>
    <row r="438" spans="2:18" ht="14.4">
      <c r="B438" s="66"/>
      <c r="G438" s="56"/>
      <c r="H438" s="56"/>
      <c r="I438" s="56"/>
      <c r="J438" s="56"/>
      <c r="K438" s="56"/>
      <c r="Q438" s="22"/>
      <c r="R438" s="182"/>
    </row>
    <row r="439" spans="2:18" ht="14.4">
      <c r="B439" s="66"/>
      <c r="G439" s="56"/>
      <c r="H439" s="56"/>
      <c r="I439" s="56"/>
      <c r="J439" s="56"/>
      <c r="K439" s="56"/>
      <c r="Q439" s="22"/>
      <c r="R439" s="182"/>
    </row>
    <row r="440" spans="2:18" ht="14.4">
      <c r="B440" s="66"/>
      <c r="G440" s="56"/>
      <c r="H440" s="56"/>
      <c r="I440" s="56"/>
      <c r="J440" s="56"/>
      <c r="K440" s="56"/>
      <c r="Q440" s="22"/>
      <c r="R440" s="182"/>
    </row>
    <row r="441" spans="2:18" ht="14.4">
      <c r="B441" s="66"/>
      <c r="G441" s="56"/>
      <c r="H441" s="56"/>
      <c r="I441" s="56"/>
      <c r="J441" s="56"/>
      <c r="K441" s="56"/>
      <c r="Q441" s="22"/>
      <c r="R441" s="182"/>
    </row>
    <row r="442" spans="2:18" ht="14.4">
      <c r="B442" s="66"/>
      <c r="G442" s="56"/>
      <c r="H442" s="56"/>
      <c r="I442" s="56"/>
      <c r="J442" s="56"/>
      <c r="K442" s="56"/>
      <c r="Q442" s="22"/>
      <c r="R442" s="182"/>
    </row>
    <row r="443" spans="2:18" ht="14.4">
      <c r="B443" s="66"/>
      <c r="G443" s="56"/>
      <c r="H443" s="56"/>
      <c r="I443" s="56"/>
      <c r="J443" s="56"/>
      <c r="K443" s="56"/>
      <c r="Q443" s="22"/>
      <c r="R443" s="182"/>
    </row>
    <row r="444" spans="2:18" ht="14.4">
      <c r="B444" s="66"/>
      <c r="G444" s="56"/>
      <c r="H444" s="56"/>
      <c r="I444" s="56"/>
      <c r="J444" s="56"/>
      <c r="K444" s="56"/>
      <c r="Q444" s="22"/>
      <c r="R444" s="182"/>
    </row>
    <row r="445" spans="2:18" ht="14.4">
      <c r="B445" s="66"/>
      <c r="G445" s="56"/>
      <c r="H445" s="56"/>
      <c r="I445" s="56"/>
      <c r="J445" s="56"/>
      <c r="K445" s="56"/>
      <c r="Q445" s="22"/>
      <c r="R445" s="182"/>
    </row>
    <row r="446" spans="2:18" ht="14.4">
      <c r="B446" s="66"/>
      <c r="G446" s="56"/>
      <c r="H446" s="56"/>
      <c r="I446" s="56"/>
      <c r="J446" s="56"/>
      <c r="K446" s="56"/>
      <c r="Q446" s="22"/>
      <c r="R446" s="182"/>
    </row>
    <row r="447" spans="2:18" ht="14.4">
      <c r="B447" s="66"/>
      <c r="G447" s="56"/>
      <c r="H447" s="56"/>
      <c r="I447" s="56"/>
      <c r="J447" s="56"/>
      <c r="K447" s="56"/>
      <c r="Q447" s="22"/>
      <c r="R447" s="182"/>
    </row>
    <row r="448" spans="2:18" ht="14.4">
      <c r="B448" s="66"/>
      <c r="G448" s="56"/>
      <c r="H448" s="56"/>
      <c r="I448" s="56"/>
      <c r="J448" s="56"/>
      <c r="K448" s="56"/>
      <c r="Q448" s="22"/>
      <c r="R448" s="182"/>
    </row>
    <row r="449" spans="2:18" ht="14.4">
      <c r="B449" s="66"/>
      <c r="G449" s="56"/>
      <c r="H449" s="56"/>
      <c r="I449" s="56"/>
      <c r="J449" s="56"/>
      <c r="K449" s="56"/>
      <c r="Q449" s="22"/>
      <c r="R449" s="182"/>
    </row>
    <row r="450" spans="2:18" ht="14.4">
      <c r="B450" s="66"/>
      <c r="G450" s="56"/>
      <c r="H450" s="56"/>
      <c r="I450" s="56"/>
      <c r="J450" s="56"/>
      <c r="K450" s="56"/>
      <c r="Q450" s="22"/>
      <c r="R450" s="182"/>
    </row>
    <row r="451" spans="2:18" ht="14.4">
      <c r="B451" s="66"/>
      <c r="G451" s="56"/>
      <c r="H451" s="56"/>
      <c r="I451" s="56"/>
      <c r="J451" s="56"/>
      <c r="K451" s="56"/>
      <c r="Q451" s="22"/>
      <c r="R451" s="182"/>
    </row>
    <row r="452" spans="2:18" ht="14.4">
      <c r="B452" s="66"/>
      <c r="G452" s="56"/>
      <c r="H452" s="56"/>
      <c r="I452" s="56"/>
      <c r="J452" s="56"/>
      <c r="K452" s="56"/>
      <c r="Q452" s="22"/>
      <c r="R452" s="182"/>
    </row>
    <row r="453" spans="2:18" ht="14.4">
      <c r="B453" s="66"/>
      <c r="G453" s="56"/>
      <c r="H453" s="56"/>
      <c r="I453" s="56"/>
      <c r="J453" s="56"/>
      <c r="K453" s="56"/>
      <c r="Q453" s="22"/>
      <c r="R453" s="182"/>
    </row>
    <row r="454" spans="2:18" ht="14.4">
      <c r="B454" s="66"/>
      <c r="G454" s="56"/>
      <c r="H454" s="56"/>
      <c r="I454" s="56"/>
      <c r="J454" s="56"/>
      <c r="K454" s="56"/>
      <c r="Q454" s="22"/>
      <c r="R454" s="182"/>
    </row>
    <row r="455" spans="2:18" ht="14.4">
      <c r="B455" s="66"/>
      <c r="G455" s="56"/>
      <c r="H455" s="56"/>
      <c r="I455" s="56"/>
      <c r="J455" s="56"/>
      <c r="K455" s="56"/>
      <c r="Q455" s="22"/>
      <c r="R455" s="182"/>
    </row>
    <row r="456" spans="2:18" ht="14.4">
      <c r="B456" s="66"/>
      <c r="G456" s="56"/>
      <c r="H456" s="56"/>
      <c r="I456" s="56"/>
      <c r="J456" s="56"/>
      <c r="K456" s="56"/>
      <c r="Q456" s="22"/>
      <c r="R456" s="182"/>
    </row>
    <row r="457" spans="2:18" ht="14.4">
      <c r="B457" s="66"/>
      <c r="G457" s="56"/>
      <c r="H457" s="56"/>
      <c r="I457" s="56"/>
      <c r="J457" s="56"/>
      <c r="K457" s="56"/>
      <c r="Q457" s="22"/>
      <c r="R457" s="182"/>
    </row>
    <row r="458" spans="2:18" ht="14.4">
      <c r="B458" s="66"/>
      <c r="G458" s="56"/>
      <c r="H458" s="56"/>
      <c r="I458" s="56"/>
      <c r="J458" s="56"/>
      <c r="K458" s="56"/>
      <c r="Q458" s="22"/>
      <c r="R458" s="182"/>
    </row>
    <row r="459" spans="2:18" ht="14.4">
      <c r="B459" s="66"/>
      <c r="G459" s="56"/>
      <c r="H459" s="56"/>
      <c r="I459" s="56"/>
      <c r="J459" s="56"/>
      <c r="K459" s="56"/>
      <c r="Q459" s="22"/>
      <c r="R459" s="182"/>
    </row>
    <row r="460" spans="2:18" ht="14.4">
      <c r="B460" s="66"/>
      <c r="G460" s="56"/>
      <c r="H460" s="56"/>
      <c r="I460" s="56"/>
      <c r="J460" s="56"/>
      <c r="K460" s="56"/>
      <c r="Q460" s="22"/>
      <c r="R460" s="182"/>
    </row>
    <row r="461" spans="2:18" ht="14.4">
      <c r="B461" s="66"/>
      <c r="G461" s="56"/>
      <c r="H461" s="56"/>
      <c r="I461" s="56"/>
      <c r="J461" s="56"/>
      <c r="K461" s="56"/>
      <c r="Q461" s="22"/>
      <c r="R461" s="182"/>
    </row>
    <row r="462" spans="2:18" ht="14.4">
      <c r="B462" s="66"/>
      <c r="G462" s="56"/>
      <c r="H462" s="56"/>
      <c r="I462" s="56"/>
      <c r="J462" s="56"/>
      <c r="K462" s="56"/>
      <c r="Q462" s="22"/>
      <c r="R462" s="182"/>
    </row>
    <row r="463" spans="2:18" ht="14.4">
      <c r="B463" s="66"/>
      <c r="G463" s="56"/>
      <c r="H463" s="56"/>
      <c r="I463" s="56"/>
      <c r="J463" s="56"/>
      <c r="K463" s="56"/>
      <c r="Q463" s="22"/>
      <c r="R463" s="182"/>
    </row>
    <row r="464" spans="2:18" ht="14.4">
      <c r="B464" s="66"/>
      <c r="G464" s="56"/>
      <c r="H464" s="56"/>
      <c r="I464" s="56"/>
      <c r="J464" s="56"/>
      <c r="K464" s="56"/>
      <c r="Q464" s="22"/>
      <c r="R464" s="182"/>
    </row>
    <row r="465" spans="2:18" ht="14.4">
      <c r="B465" s="66"/>
      <c r="G465" s="56"/>
      <c r="H465" s="56"/>
      <c r="I465" s="56"/>
      <c r="J465" s="56"/>
      <c r="K465" s="56"/>
      <c r="Q465" s="22"/>
      <c r="R465" s="182"/>
    </row>
    <row r="466" spans="2:18" ht="14.4">
      <c r="B466" s="66"/>
      <c r="G466" s="56"/>
      <c r="H466" s="56"/>
      <c r="I466" s="56"/>
      <c r="J466" s="56"/>
      <c r="K466" s="56"/>
      <c r="Q466" s="22"/>
      <c r="R466" s="182"/>
    </row>
    <row r="467" spans="2:18" ht="14.4">
      <c r="B467" s="66"/>
      <c r="G467" s="56"/>
      <c r="H467" s="56"/>
      <c r="I467" s="56"/>
      <c r="J467" s="56"/>
      <c r="K467" s="56"/>
      <c r="Q467" s="22"/>
      <c r="R467" s="182"/>
    </row>
    <row r="468" spans="2:18" ht="14.4">
      <c r="B468" s="66"/>
      <c r="G468" s="56"/>
      <c r="H468" s="56"/>
      <c r="I468" s="56"/>
      <c r="J468" s="56"/>
      <c r="K468" s="56"/>
      <c r="Q468" s="22"/>
      <c r="R468" s="182"/>
    </row>
    <row r="469" spans="2:18" ht="14.4">
      <c r="B469" s="66"/>
      <c r="G469" s="56"/>
      <c r="H469" s="56"/>
      <c r="I469" s="56"/>
      <c r="J469" s="56"/>
      <c r="K469" s="56"/>
      <c r="Q469" s="22"/>
      <c r="R469" s="182"/>
    </row>
    <row r="470" spans="2:18" ht="14.4">
      <c r="B470" s="66"/>
      <c r="G470" s="56"/>
      <c r="H470" s="56"/>
      <c r="I470" s="56"/>
      <c r="J470" s="56"/>
      <c r="K470" s="56"/>
      <c r="Q470" s="22"/>
      <c r="R470" s="182"/>
    </row>
    <row r="471" spans="2:18" ht="14.4">
      <c r="B471" s="66"/>
      <c r="G471" s="56"/>
      <c r="H471" s="56"/>
      <c r="I471" s="56"/>
      <c r="J471" s="56"/>
      <c r="K471" s="56"/>
      <c r="Q471" s="22"/>
      <c r="R471" s="182"/>
    </row>
    <row r="472" spans="2:18" ht="14.4">
      <c r="B472" s="66"/>
      <c r="G472" s="56"/>
      <c r="H472" s="56"/>
      <c r="I472" s="56"/>
      <c r="J472" s="56"/>
      <c r="K472" s="56"/>
      <c r="Q472" s="22"/>
      <c r="R472" s="182"/>
    </row>
    <row r="473" spans="2:18" ht="14.4">
      <c r="B473" s="66"/>
      <c r="G473" s="56"/>
      <c r="H473" s="56"/>
      <c r="I473" s="56"/>
      <c r="J473" s="56"/>
      <c r="K473" s="56"/>
      <c r="Q473" s="22"/>
      <c r="R473" s="182"/>
    </row>
    <row r="474" spans="2:18" ht="14.4">
      <c r="B474" s="66"/>
      <c r="G474" s="56"/>
      <c r="H474" s="56"/>
      <c r="I474" s="56"/>
      <c r="J474" s="56"/>
      <c r="K474" s="56"/>
      <c r="Q474" s="22"/>
      <c r="R474" s="182"/>
    </row>
    <row r="475" spans="2:18" ht="14.4">
      <c r="B475" s="66"/>
      <c r="G475" s="56"/>
      <c r="H475" s="56"/>
      <c r="I475" s="56"/>
      <c r="J475" s="56"/>
      <c r="K475" s="56"/>
      <c r="Q475" s="22"/>
      <c r="R475" s="182"/>
    </row>
    <row r="476" spans="2:18" ht="14.4">
      <c r="B476" s="66"/>
      <c r="G476" s="56"/>
      <c r="H476" s="56"/>
      <c r="I476" s="56"/>
      <c r="J476" s="56"/>
      <c r="K476" s="56"/>
      <c r="Q476" s="22"/>
      <c r="R476" s="182"/>
    </row>
    <row r="477" spans="2:18" ht="14.4">
      <c r="B477" s="66"/>
      <c r="G477" s="56"/>
      <c r="H477" s="56"/>
      <c r="I477" s="56"/>
      <c r="J477" s="56"/>
      <c r="K477" s="56"/>
      <c r="Q477" s="22"/>
      <c r="R477" s="182"/>
    </row>
    <row r="478" spans="2:18" ht="14.4">
      <c r="B478" s="66"/>
      <c r="G478" s="56"/>
      <c r="H478" s="56"/>
      <c r="I478" s="56"/>
      <c r="J478" s="56"/>
      <c r="K478" s="56"/>
      <c r="Q478" s="22"/>
      <c r="R478" s="182"/>
    </row>
    <row r="479" spans="2:18" ht="14.4">
      <c r="B479" s="66"/>
      <c r="G479" s="56"/>
      <c r="H479" s="56"/>
      <c r="I479" s="56"/>
      <c r="J479" s="56"/>
      <c r="K479" s="56"/>
      <c r="Q479" s="22"/>
      <c r="R479" s="182"/>
    </row>
    <row r="480" spans="2:18" ht="14.4">
      <c r="B480" s="66"/>
      <c r="G480" s="56"/>
      <c r="H480" s="56"/>
      <c r="I480" s="56"/>
      <c r="J480" s="56"/>
      <c r="K480" s="56"/>
      <c r="Q480" s="22"/>
      <c r="R480" s="182"/>
    </row>
    <row r="481" spans="2:18" ht="14.4">
      <c r="B481" s="66"/>
      <c r="G481" s="56"/>
      <c r="H481" s="56"/>
      <c r="I481" s="56"/>
      <c r="J481" s="56"/>
      <c r="K481" s="56"/>
      <c r="Q481" s="22"/>
      <c r="R481" s="182"/>
    </row>
    <row r="482" spans="2:18" ht="14.4">
      <c r="B482" s="66"/>
      <c r="G482" s="56"/>
      <c r="H482" s="56"/>
      <c r="I482" s="56"/>
      <c r="J482" s="56"/>
      <c r="K482" s="56"/>
      <c r="Q482" s="22"/>
      <c r="R482" s="182"/>
    </row>
    <row r="483" spans="2:18" ht="14.4">
      <c r="B483" s="66"/>
      <c r="G483" s="56"/>
      <c r="H483" s="56"/>
      <c r="I483" s="56"/>
      <c r="J483" s="56"/>
      <c r="K483" s="56"/>
      <c r="Q483" s="22"/>
      <c r="R483" s="182"/>
    </row>
    <row r="484" spans="2:18" ht="14.4">
      <c r="B484" s="66"/>
      <c r="G484" s="56"/>
      <c r="H484" s="56"/>
      <c r="I484" s="56"/>
      <c r="J484" s="56"/>
      <c r="K484" s="56"/>
      <c r="Q484" s="22"/>
      <c r="R484" s="182"/>
    </row>
    <row r="485" spans="2:18" ht="14.4">
      <c r="B485" s="66"/>
      <c r="G485" s="56"/>
      <c r="H485" s="56"/>
      <c r="I485" s="56"/>
      <c r="J485" s="56"/>
      <c r="K485" s="56"/>
      <c r="Q485" s="22"/>
      <c r="R485" s="182"/>
    </row>
    <row r="486" spans="2:18" ht="14.4">
      <c r="B486" s="66"/>
      <c r="G486" s="56"/>
      <c r="H486" s="56"/>
      <c r="I486" s="56"/>
      <c r="J486" s="56"/>
      <c r="K486" s="56"/>
      <c r="Q486" s="22"/>
      <c r="R486" s="182"/>
    </row>
    <row r="487" spans="2:18" ht="14.4">
      <c r="B487" s="66"/>
      <c r="G487" s="56"/>
      <c r="H487" s="56"/>
      <c r="I487" s="56"/>
      <c r="J487" s="56"/>
      <c r="K487" s="56"/>
      <c r="Q487" s="22"/>
      <c r="R487" s="182"/>
    </row>
    <row r="488" spans="2:18" ht="14.4">
      <c r="B488" s="66"/>
      <c r="G488" s="56"/>
      <c r="H488" s="56"/>
      <c r="I488" s="56"/>
      <c r="J488" s="56"/>
      <c r="K488" s="56"/>
      <c r="Q488" s="22"/>
      <c r="R488" s="182"/>
    </row>
    <row r="489" spans="2:18" ht="14.4">
      <c r="B489" s="66"/>
      <c r="G489" s="56"/>
      <c r="H489" s="56"/>
      <c r="I489" s="56"/>
      <c r="J489" s="56"/>
      <c r="K489" s="56"/>
      <c r="Q489" s="22"/>
      <c r="R489" s="182"/>
    </row>
    <row r="490" spans="2:18" ht="14.4">
      <c r="B490" s="66"/>
      <c r="G490" s="56"/>
      <c r="H490" s="56"/>
      <c r="I490" s="56"/>
      <c r="J490" s="56"/>
      <c r="K490" s="56"/>
      <c r="Q490" s="22"/>
      <c r="R490" s="182"/>
    </row>
    <row r="491" spans="2:18" ht="14.4">
      <c r="B491" s="66"/>
      <c r="G491" s="56"/>
      <c r="H491" s="56"/>
      <c r="I491" s="56"/>
      <c r="J491" s="56"/>
      <c r="K491" s="56"/>
      <c r="Q491" s="22"/>
      <c r="R491" s="182"/>
    </row>
    <row r="492" spans="2:18" ht="14.4">
      <c r="B492" s="66"/>
      <c r="G492" s="56"/>
      <c r="H492" s="56"/>
      <c r="I492" s="56"/>
      <c r="J492" s="56"/>
      <c r="K492" s="56"/>
      <c r="Q492" s="22"/>
      <c r="R492" s="182"/>
    </row>
    <row r="493" spans="2:18" ht="14.4">
      <c r="B493" s="66"/>
      <c r="G493" s="56"/>
      <c r="H493" s="56"/>
      <c r="I493" s="56"/>
      <c r="J493" s="56"/>
      <c r="K493" s="56"/>
      <c r="Q493" s="22"/>
      <c r="R493" s="182"/>
    </row>
    <row r="494" spans="2:18" ht="14.4">
      <c r="B494" s="66"/>
      <c r="G494" s="56"/>
      <c r="H494" s="56"/>
      <c r="I494" s="56"/>
      <c r="J494" s="56"/>
      <c r="K494" s="56"/>
      <c r="Q494" s="22"/>
      <c r="R494" s="182"/>
    </row>
    <row r="495" spans="2:18" ht="14.4">
      <c r="B495" s="66"/>
      <c r="G495" s="56"/>
      <c r="H495" s="56"/>
      <c r="I495" s="56"/>
      <c r="J495" s="56"/>
      <c r="K495" s="56"/>
      <c r="Q495" s="22"/>
      <c r="R495" s="182"/>
    </row>
    <row r="496" spans="2:18" ht="14.4">
      <c r="B496" s="66"/>
      <c r="G496" s="56"/>
      <c r="H496" s="56"/>
      <c r="I496" s="56"/>
      <c r="J496" s="56"/>
      <c r="K496" s="56"/>
      <c r="Q496" s="22"/>
      <c r="R496" s="182"/>
    </row>
    <row r="497" spans="2:18" ht="14.4">
      <c r="B497" s="66"/>
      <c r="G497" s="56"/>
      <c r="H497" s="56"/>
      <c r="I497" s="56"/>
      <c r="J497" s="56"/>
      <c r="K497" s="56"/>
      <c r="Q497" s="22"/>
      <c r="R497" s="182"/>
    </row>
    <row r="498" spans="2:18" ht="14.4">
      <c r="B498" s="66"/>
      <c r="G498" s="56"/>
      <c r="H498" s="56"/>
      <c r="I498" s="56"/>
      <c r="J498" s="56"/>
      <c r="K498" s="56"/>
      <c r="Q498" s="22"/>
      <c r="R498" s="182"/>
    </row>
    <row r="499" spans="2:18" ht="14.4">
      <c r="B499" s="66"/>
      <c r="G499" s="56"/>
      <c r="H499" s="56"/>
      <c r="I499" s="56"/>
      <c r="J499" s="56"/>
      <c r="K499" s="56"/>
      <c r="Q499" s="22"/>
      <c r="R499" s="182"/>
    </row>
    <row r="500" spans="2:18" ht="14.4">
      <c r="B500" s="66"/>
      <c r="G500" s="56"/>
      <c r="H500" s="56"/>
      <c r="I500" s="56"/>
      <c r="J500" s="56"/>
      <c r="K500" s="56"/>
      <c r="Q500" s="22"/>
      <c r="R500" s="182"/>
    </row>
    <row r="501" spans="2:18" ht="14.4">
      <c r="B501" s="66"/>
      <c r="G501" s="56"/>
      <c r="H501" s="56"/>
      <c r="I501" s="56"/>
      <c r="J501" s="56"/>
      <c r="K501" s="56"/>
      <c r="Q501" s="22"/>
      <c r="R501" s="182"/>
    </row>
    <row r="502" spans="2:18" ht="14.4">
      <c r="B502" s="66"/>
      <c r="G502" s="56"/>
      <c r="H502" s="56"/>
      <c r="I502" s="56"/>
      <c r="J502" s="56"/>
      <c r="K502" s="56"/>
      <c r="Q502" s="22"/>
      <c r="R502" s="182"/>
    </row>
    <row r="503" spans="2:18" ht="14.4">
      <c r="B503" s="66"/>
      <c r="G503" s="56"/>
      <c r="H503" s="56"/>
      <c r="I503" s="56"/>
      <c r="J503" s="56"/>
      <c r="K503" s="56"/>
      <c r="Q503" s="22"/>
      <c r="R503" s="182"/>
    </row>
  </sheetData>
  <mergeCells count="31">
    <mergeCell ref="A21:A22"/>
    <mergeCell ref="B21:B22"/>
    <mergeCell ref="C21:C22"/>
    <mergeCell ref="D21:D22"/>
    <mergeCell ref="E21:E22"/>
    <mergeCell ref="F21:F22"/>
    <mergeCell ref="H21:J21"/>
    <mergeCell ref="K21:O21"/>
    <mergeCell ref="P21:P22"/>
    <mergeCell ref="R21:R22"/>
    <mergeCell ref="I6:M6"/>
    <mergeCell ref="I7:M7"/>
    <mergeCell ref="I8:M8"/>
    <mergeCell ref="I9:M9"/>
    <mergeCell ref="I1:M1"/>
    <mergeCell ref="I2:M2"/>
    <mergeCell ref="I3:M3"/>
    <mergeCell ref="I4:M4"/>
    <mergeCell ref="I5:M5"/>
    <mergeCell ref="C1:D1"/>
    <mergeCell ref="C6:D6"/>
    <mergeCell ref="C3:D3"/>
    <mergeCell ref="C2:D2"/>
    <mergeCell ref="C5:D5"/>
    <mergeCell ref="C4:D4"/>
    <mergeCell ref="C12:D12"/>
    <mergeCell ref="C7:D7"/>
    <mergeCell ref="C8:D8"/>
    <mergeCell ref="C9:D9"/>
    <mergeCell ref="C10:D10"/>
    <mergeCell ref="C11:D11"/>
  </mergeCells>
  <conditionalFormatting sqref="B1:B1048576">
    <cfRule type="containsText" dxfId="12" priority="1" operator="containsText" text="191">
      <formula>NOT(ISERROR(SEARCH("191",B1)))</formula>
    </cfRule>
    <cfRule type="containsText" dxfId="11" priority="2" operator="containsText" text="185">
      <formula>NOT(ISERROR(SEARCH("185",B1)))</formula>
    </cfRule>
  </conditionalFormatting>
  <conditionalFormatting sqref="G21:G22">
    <cfRule type="duplicateValues" dxfId="10" priority="32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07"/>
  <sheetViews>
    <sheetView tabSelected="1" topLeftCell="A402" zoomScale="76" workbookViewId="0">
      <selection activeCell="A3" sqref="A3:XFD23"/>
    </sheetView>
  </sheetViews>
  <sheetFormatPr defaultColWidth="11" defaultRowHeight="13.8"/>
  <cols>
    <col min="1" max="1" width="11" style="170"/>
    <col min="2" max="2" width="22.19921875" style="170" customWidth="1"/>
    <col min="3" max="3" width="17.19921875" style="170" customWidth="1"/>
    <col min="4" max="4" width="21.59765625" style="170" customWidth="1"/>
    <col min="5" max="5" width="33.59765625" style="170" customWidth="1"/>
    <col min="6" max="6" width="28.69921875" style="170" customWidth="1"/>
    <col min="7" max="7" width="17.59765625" style="170" customWidth="1"/>
    <col min="8" max="8" width="17.69921875" style="170" customWidth="1"/>
    <col min="9" max="9" width="66.09765625" style="170" customWidth="1"/>
    <col min="10" max="10" width="17.69921875" style="170" customWidth="1"/>
    <col min="11" max="11" width="14.296875" style="170" customWidth="1"/>
    <col min="12" max="12" width="22.3984375" style="170" customWidth="1"/>
    <col min="13" max="13" width="19.19921875" style="170" customWidth="1"/>
    <col min="14" max="14" width="17.5" style="170" customWidth="1"/>
    <col min="15" max="15" width="17.59765625" style="170" customWidth="1"/>
    <col min="16" max="16" width="24.796875" style="170" customWidth="1"/>
    <col min="17" max="17" width="24.19921875" style="170" customWidth="1"/>
    <col min="18" max="18" width="16.3984375" style="170" customWidth="1"/>
    <col min="19" max="19" width="25.09765625" style="170" customWidth="1"/>
    <col min="20" max="20" width="19.796875" style="170" customWidth="1"/>
    <col min="21" max="16384" width="11" style="170"/>
  </cols>
  <sheetData>
    <row r="1" spans="1:34" ht="27.6">
      <c r="A1" s="180"/>
      <c r="B1" s="180"/>
      <c r="C1" s="189" t="s">
        <v>100</v>
      </c>
      <c r="D1" s="174" t="s">
        <v>75</v>
      </c>
      <c r="E1" s="174"/>
      <c r="F1" s="374" t="s">
        <v>71</v>
      </c>
      <c r="G1" s="375"/>
      <c r="H1" s="173" t="s">
        <v>57</v>
      </c>
      <c r="I1" s="184" t="s">
        <v>96</v>
      </c>
      <c r="J1" s="184" t="s">
        <v>98</v>
      </c>
      <c r="K1" s="184" t="s">
        <v>99</v>
      </c>
      <c r="L1" s="374" t="s">
        <v>117</v>
      </c>
      <c r="M1" s="186"/>
      <c r="N1" s="186"/>
      <c r="O1" s="186"/>
    </row>
    <row r="2" spans="1:34" ht="14.4">
      <c r="A2" s="180"/>
      <c r="B2" s="180"/>
      <c r="C2" s="354">
        <v>0.6</v>
      </c>
      <c r="D2" s="174">
        <v>1</v>
      </c>
      <c r="E2" s="466">
        <v>366</v>
      </c>
      <c r="F2" s="569" t="s">
        <v>157</v>
      </c>
      <c r="G2" s="570"/>
      <c r="H2" s="459">
        <v>366</v>
      </c>
      <c r="I2" s="460">
        <v>721</v>
      </c>
      <c r="J2" s="460">
        <v>366</v>
      </c>
      <c r="K2" s="460"/>
      <c r="L2" s="374"/>
      <c r="M2" s="448"/>
      <c r="N2" s="448"/>
      <c r="O2" s="448"/>
    </row>
    <row r="3" spans="1:34" ht="15" customHeight="1">
      <c r="A3" s="180"/>
      <c r="B3" s="180"/>
      <c r="D3" s="173"/>
      <c r="E3" s="454"/>
      <c r="F3" s="545"/>
      <c r="G3" s="546"/>
      <c r="H3" s="382"/>
      <c r="I3" s="406"/>
      <c r="J3" s="406"/>
      <c r="K3" s="407"/>
      <c r="L3" s="470"/>
      <c r="M3" s="186"/>
      <c r="N3" s="186"/>
      <c r="O3" s="186"/>
    </row>
    <row r="4" spans="1:34" ht="19.05" customHeight="1">
      <c r="A4" s="180"/>
      <c r="B4" s="180"/>
      <c r="C4" s="356"/>
      <c r="D4" s="173"/>
      <c r="E4" s="454"/>
      <c r="F4" s="545"/>
      <c r="G4" s="546"/>
      <c r="H4" s="382"/>
      <c r="I4" s="406"/>
      <c r="J4" s="406"/>
      <c r="K4" s="407"/>
      <c r="L4" s="470"/>
      <c r="M4" s="186"/>
      <c r="N4" s="186"/>
      <c r="O4" s="186"/>
      <c r="P4" s="364"/>
      <c r="Q4" s="364"/>
      <c r="R4" s="364"/>
      <c r="S4" s="364"/>
      <c r="T4" s="364"/>
    </row>
    <row r="5" spans="1:34" s="364" customFormat="1" ht="16.95" customHeight="1">
      <c r="A5" s="175"/>
      <c r="B5" s="175"/>
      <c r="C5" s="175"/>
      <c r="D5" s="174"/>
      <c r="E5" s="454"/>
      <c r="F5" s="545"/>
      <c r="G5" s="546"/>
      <c r="H5" s="382"/>
      <c r="I5" s="264"/>
      <c r="J5" s="264"/>
      <c r="K5" s="405"/>
      <c r="L5" s="470"/>
      <c r="M5" s="186"/>
      <c r="N5" s="186"/>
      <c r="O5" s="186"/>
      <c r="P5" s="186"/>
      <c r="Q5" s="186"/>
      <c r="R5" s="186"/>
      <c r="S5" s="186"/>
      <c r="T5" s="186"/>
      <c r="AH5" s="449"/>
    </row>
    <row r="6" spans="1:34" s="364" customFormat="1" ht="16.95" customHeight="1">
      <c r="A6" s="175"/>
      <c r="B6" s="175"/>
      <c r="C6" s="175"/>
      <c r="D6" s="173"/>
      <c r="E6" s="454"/>
      <c r="F6" s="545"/>
      <c r="G6" s="546"/>
      <c r="H6" s="382"/>
      <c r="I6" s="264"/>
      <c r="J6" s="264"/>
      <c r="K6" s="405"/>
      <c r="L6" s="470"/>
      <c r="M6" s="186"/>
      <c r="N6" s="186"/>
      <c r="O6" s="186"/>
      <c r="P6" s="186"/>
      <c r="Q6" s="186"/>
      <c r="R6" s="186"/>
      <c r="S6" s="186"/>
      <c r="T6" s="186"/>
    </row>
    <row r="7" spans="1:34" s="364" customFormat="1" ht="16.95" customHeight="1">
      <c r="A7" s="175"/>
      <c r="B7" s="175"/>
      <c r="C7" s="175"/>
      <c r="D7" s="173"/>
      <c r="E7" s="454"/>
      <c r="F7" s="545"/>
      <c r="G7" s="546"/>
      <c r="H7" s="380"/>
      <c r="I7" s="264"/>
      <c r="J7" s="264"/>
      <c r="K7" s="405"/>
      <c r="L7" s="470"/>
      <c r="M7" s="186"/>
      <c r="N7" s="186"/>
      <c r="O7" s="186"/>
      <c r="P7" s="186"/>
      <c r="Q7" s="186"/>
      <c r="R7" s="186"/>
      <c r="S7" s="186"/>
      <c r="T7" s="186"/>
    </row>
    <row r="8" spans="1:34" s="364" customFormat="1" ht="16.95" customHeight="1">
      <c r="A8" s="175"/>
      <c r="B8" s="175"/>
      <c r="C8" s="175"/>
      <c r="D8" s="174"/>
      <c r="E8" s="454"/>
      <c r="F8" s="545"/>
      <c r="G8" s="546"/>
      <c r="H8" s="380"/>
      <c r="I8" s="264"/>
      <c r="J8" s="264"/>
      <c r="K8" s="405"/>
      <c r="L8" s="470"/>
      <c r="M8" s="448"/>
      <c r="N8" s="448"/>
      <c r="O8" s="448"/>
      <c r="P8" s="186"/>
      <c r="Q8" s="186"/>
      <c r="R8" s="186"/>
      <c r="S8" s="186"/>
      <c r="T8" s="186"/>
    </row>
    <row r="9" spans="1:34" s="364" customFormat="1" ht="16.95" customHeight="1">
      <c r="A9" s="175"/>
      <c r="B9" s="175"/>
      <c r="C9" s="175"/>
      <c r="D9" s="173"/>
      <c r="E9" s="454"/>
      <c r="F9" s="545"/>
      <c r="G9" s="546"/>
      <c r="H9" s="380"/>
      <c r="I9" s="264"/>
      <c r="J9" s="264"/>
      <c r="K9" s="405"/>
      <c r="L9" s="470"/>
      <c r="M9" s="448"/>
      <c r="N9" s="448"/>
      <c r="O9" s="448"/>
      <c r="P9" s="186"/>
      <c r="Q9" s="186"/>
      <c r="R9" s="186"/>
      <c r="S9" s="186"/>
      <c r="T9" s="186"/>
    </row>
    <row r="10" spans="1:34" s="364" customFormat="1" ht="16.95" customHeight="1">
      <c r="A10" s="175"/>
      <c r="B10" s="175"/>
      <c r="C10" s="175"/>
      <c r="D10" s="173"/>
      <c r="E10" s="454"/>
      <c r="F10" s="545"/>
      <c r="G10" s="546"/>
      <c r="H10" s="380"/>
      <c r="I10" s="264"/>
      <c r="J10" s="264"/>
      <c r="K10" s="405"/>
      <c r="L10" s="470"/>
      <c r="M10" s="448"/>
      <c r="N10" s="448"/>
      <c r="O10" s="448"/>
      <c r="P10" s="186"/>
      <c r="Q10" s="186"/>
      <c r="R10" s="186"/>
      <c r="S10" s="186"/>
      <c r="T10" s="186"/>
    </row>
    <row r="11" spans="1:34" s="364" customFormat="1" ht="16.95" customHeight="1">
      <c r="A11" s="175"/>
      <c r="B11" s="175"/>
      <c r="C11" s="175"/>
      <c r="D11" s="174"/>
      <c r="E11" s="454"/>
      <c r="F11" s="545"/>
      <c r="G11" s="546"/>
      <c r="H11" s="382"/>
      <c r="I11" s="406"/>
      <c r="J11" s="173"/>
      <c r="K11" s="405"/>
      <c r="L11" s="470"/>
      <c r="M11" s="448"/>
      <c r="N11" s="448"/>
      <c r="O11" s="448"/>
      <c r="P11" s="448"/>
      <c r="Q11" s="448"/>
      <c r="R11" s="448"/>
      <c r="S11" s="448"/>
      <c r="T11" s="448"/>
    </row>
    <row r="12" spans="1:34" s="364" customFormat="1" ht="16.95" customHeight="1">
      <c r="A12" s="175"/>
      <c r="B12" s="175"/>
      <c r="C12" s="175"/>
      <c r="D12" s="173"/>
      <c r="E12" s="454"/>
      <c r="F12" s="545"/>
      <c r="G12" s="546"/>
      <c r="H12" s="382"/>
      <c r="I12" s="406"/>
      <c r="J12" s="406"/>
      <c r="K12" s="405"/>
      <c r="L12" s="470"/>
      <c r="M12" s="448"/>
      <c r="N12" s="448"/>
      <c r="O12" s="448"/>
      <c r="P12" s="448"/>
      <c r="Q12" s="448"/>
      <c r="R12" s="448"/>
      <c r="S12" s="448"/>
      <c r="T12" s="448"/>
    </row>
    <row r="13" spans="1:34" s="364" customFormat="1" ht="16.95" customHeight="1">
      <c r="A13" s="175"/>
      <c r="B13" s="175"/>
      <c r="C13" s="175"/>
      <c r="D13" s="173"/>
      <c r="E13" s="454"/>
      <c r="F13" s="545"/>
      <c r="G13" s="546"/>
      <c r="H13" s="382"/>
      <c r="I13" s="406"/>
      <c r="J13" s="406"/>
      <c r="K13" s="405"/>
      <c r="L13" s="470"/>
      <c r="M13" s="448"/>
      <c r="N13" s="448"/>
      <c r="O13" s="448"/>
      <c r="P13" s="448"/>
      <c r="Q13" s="448"/>
      <c r="R13" s="448"/>
      <c r="S13" s="448"/>
      <c r="T13" s="448"/>
    </row>
    <row r="14" spans="1:34" s="364" customFormat="1" ht="16.95" customHeight="1">
      <c r="A14" s="175"/>
      <c r="B14" s="175"/>
      <c r="C14" s="175"/>
      <c r="D14" s="174"/>
      <c r="E14" s="454"/>
      <c r="F14" s="545"/>
      <c r="G14" s="546"/>
      <c r="H14" s="382"/>
      <c r="I14" s="406"/>
      <c r="J14" s="406"/>
      <c r="K14" s="405"/>
      <c r="L14" s="470"/>
      <c r="M14" s="186"/>
      <c r="N14" s="186"/>
      <c r="O14" s="186"/>
      <c r="P14" s="448"/>
      <c r="Q14" s="448"/>
      <c r="R14" s="448"/>
      <c r="S14" s="448"/>
      <c r="T14" s="448"/>
    </row>
    <row r="15" spans="1:34" s="364" customFormat="1" ht="16.95" customHeight="1">
      <c r="A15" s="175"/>
      <c r="B15" s="175"/>
      <c r="C15" s="175"/>
      <c r="D15" s="173"/>
      <c r="E15" s="454"/>
      <c r="F15" s="545"/>
      <c r="G15" s="546"/>
      <c r="H15" s="382"/>
      <c r="I15" s="406"/>
      <c r="J15" s="406"/>
      <c r="K15" s="405"/>
      <c r="L15" s="470"/>
      <c r="M15" s="186"/>
      <c r="N15" s="186"/>
      <c r="O15" s="186"/>
      <c r="P15" s="448"/>
      <c r="Q15" s="448"/>
      <c r="R15" s="448"/>
      <c r="S15" s="448"/>
      <c r="T15" s="448"/>
    </row>
    <row r="16" spans="1:34" s="364" customFormat="1" ht="16.95" customHeight="1">
      <c r="A16" s="175"/>
      <c r="B16" s="175"/>
      <c r="C16" s="175"/>
      <c r="D16" s="173"/>
      <c r="E16" s="454"/>
      <c r="F16" s="545"/>
      <c r="G16" s="546"/>
      <c r="H16" s="382"/>
      <c r="I16" s="406"/>
      <c r="J16" s="406"/>
      <c r="K16" s="405"/>
      <c r="L16" s="470"/>
      <c r="M16" s="186"/>
      <c r="N16" s="186"/>
      <c r="O16" s="186"/>
      <c r="P16" s="448"/>
      <c r="Q16" s="448"/>
      <c r="R16" s="448"/>
      <c r="S16" s="448"/>
      <c r="T16" s="448"/>
    </row>
    <row r="17" spans="1:37" s="364" customFormat="1" ht="16.95" customHeight="1">
      <c r="A17" s="175"/>
      <c r="B17" s="175"/>
      <c r="C17" s="175"/>
      <c r="D17" s="174"/>
      <c r="E17" s="468"/>
      <c r="F17" s="545"/>
      <c r="G17" s="546"/>
      <c r="H17" s="382"/>
      <c r="I17" s="406"/>
      <c r="J17" s="406"/>
      <c r="K17" s="405"/>
      <c r="L17" s="470"/>
      <c r="M17" s="186"/>
      <c r="N17" s="186"/>
      <c r="O17" s="186"/>
      <c r="P17" s="448"/>
      <c r="Q17" s="448"/>
      <c r="R17" s="448"/>
      <c r="S17" s="448"/>
      <c r="T17" s="448"/>
    </row>
    <row r="18" spans="1:37" s="364" customFormat="1" ht="16.95" customHeight="1">
      <c r="A18" s="175"/>
      <c r="B18" s="175"/>
      <c r="C18" s="175"/>
      <c r="D18" s="173"/>
      <c r="E18" s="454"/>
      <c r="F18" s="545"/>
      <c r="G18" s="546"/>
      <c r="H18" s="382"/>
      <c r="I18" s="406"/>
      <c r="J18" s="406"/>
      <c r="K18" s="405"/>
      <c r="L18" s="470"/>
      <c r="M18" s="186"/>
      <c r="N18" s="186"/>
      <c r="O18" s="186"/>
      <c r="P18" s="448"/>
      <c r="Q18" s="448"/>
      <c r="R18" s="448"/>
      <c r="S18" s="448"/>
      <c r="T18" s="448"/>
    </row>
    <row r="19" spans="1:37" s="364" customFormat="1" ht="16.95" customHeight="1">
      <c r="A19" s="175"/>
      <c r="B19" s="175"/>
      <c r="C19" s="175"/>
      <c r="D19" s="173"/>
      <c r="E19" s="454"/>
      <c r="F19" s="464"/>
      <c r="G19" s="465"/>
      <c r="H19" s="382"/>
      <c r="I19" s="406"/>
      <c r="J19" s="406"/>
      <c r="K19" s="405"/>
      <c r="L19" s="470"/>
      <c r="M19" s="186"/>
      <c r="N19" s="186"/>
      <c r="O19" s="186"/>
      <c r="P19" s="448"/>
      <c r="Q19" s="448"/>
      <c r="R19" s="448"/>
      <c r="S19" s="448"/>
      <c r="T19" s="448"/>
    </row>
    <row r="20" spans="1:37" s="364" customFormat="1" ht="16.95" customHeight="1">
      <c r="A20" s="175"/>
      <c r="B20" s="175"/>
      <c r="C20" s="175"/>
      <c r="D20" s="174"/>
      <c r="E20" s="454"/>
      <c r="F20" s="545"/>
      <c r="G20" s="546"/>
      <c r="H20" s="382"/>
      <c r="I20" s="406"/>
      <c r="J20" s="406"/>
      <c r="K20" s="405"/>
      <c r="L20" s="470"/>
      <c r="M20" s="448"/>
      <c r="N20" s="448"/>
      <c r="O20" s="448"/>
      <c r="P20" s="448"/>
      <c r="Q20" s="448"/>
      <c r="R20" s="448"/>
      <c r="S20" s="448"/>
      <c r="T20" s="448"/>
    </row>
    <row r="21" spans="1:37" s="364" customFormat="1" ht="16.95" customHeight="1">
      <c r="A21" s="175"/>
      <c r="B21" s="175"/>
      <c r="C21" s="175"/>
      <c r="D21" s="173"/>
      <c r="E21" s="454"/>
      <c r="F21" s="545"/>
      <c r="G21" s="546"/>
      <c r="H21" s="382"/>
      <c r="I21" s="264"/>
      <c r="J21" s="264"/>
      <c r="K21" s="405"/>
      <c r="L21" s="470"/>
      <c r="M21" s="448"/>
      <c r="N21" s="448"/>
      <c r="O21" s="448"/>
      <c r="P21" s="448"/>
      <c r="Q21" s="448"/>
      <c r="R21" s="448"/>
      <c r="S21" s="448"/>
      <c r="T21" s="448"/>
    </row>
    <row r="22" spans="1:37" s="364" customFormat="1" ht="16.95" customHeight="1">
      <c r="A22" s="175"/>
      <c r="B22" s="175"/>
      <c r="C22" s="175"/>
      <c r="D22" s="173"/>
      <c r="E22" s="469"/>
      <c r="F22" s="571"/>
      <c r="G22" s="572"/>
      <c r="H22" s="467"/>
      <c r="I22" s="264"/>
      <c r="J22" s="264"/>
      <c r="K22" s="405"/>
      <c r="L22" s="470"/>
      <c r="M22" s="448"/>
      <c r="N22" s="448"/>
      <c r="O22" s="448"/>
      <c r="P22" s="448"/>
      <c r="Q22" s="448"/>
      <c r="R22" s="448"/>
      <c r="S22" s="448"/>
      <c r="T22" s="448"/>
    </row>
    <row r="23" spans="1:37" s="364" customFormat="1" ht="16.95" customHeight="1">
      <c r="A23" s="175"/>
      <c r="B23" s="175"/>
      <c r="C23" s="175"/>
      <c r="D23" s="173"/>
      <c r="E23" s="469"/>
      <c r="F23" s="472"/>
      <c r="G23" s="465"/>
      <c r="H23" s="467"/>
      <c r="I23" s="264"/>
      <c r="J23" s="264"/>
      <c r="K23" s="405"/>
      <c r="L23" s="470"/>
      <c r="M23" s="448"/>
      <c r="N23" s="448"/>
      <c r="O23" s="448"/>
      <c r="P23" s="448"/>
      <c r="Q23" s="448"/>
      <c r="R23" s="448"/>
      <c r="S23" s="448"/>
      <c r="T23" s="448"/>
    </row>
    <row r="24" spans="1:37" ht="14.4">
      <c r="A24" s="61"/>
      <c r="B24" s="61"/>
      <c r="C24" s="65"/>
      <c r="D24" s="173"/>
      <c r="E24" s="454"/>
      <c r="F24" s="566" t="s">
        <v>119</v>
      </c>
      <c r="G24" s="567"/>
      <c r="H24" s="376"/>
      <c r="I24" s="376">
        <f>SUM(I3:I23)</f>
        <v>0</v>
      </c>
      <c r="J24" s="377">
        <f>SUM(J2:J23)</f>
        <v>366</v>
      </c>
      <c r="K24" s="457">
        <f>SUM(K3:K23)</f>
        <v>0</v>
      </c>
      <c r="L24" s="471">
        <f>SUM(L3:L23)</f>
        <v>0</v>
      </c>
      <c r="M24" s="448"/>
      <c r="N24" s="448"/>
      <c r="O24" s="448"/>
      <c r="P24" s="61"/>
      <c r="Q24" s="61"/>
      <c r="R24" s="65"/>
      <c r="S24" s="61"/>
      <c r="T24" s="65"/>
      <c r="U24" s="61"/>
      <c r="V24" s="61"/>
      <c r="W24" s="61"/>
      <c r="X24" s="61"/>
      <c r="Y24" s="61"/>
      <c r="Z24" s="61"/>
      <c r="AA24" s="61"/>
      <c r="AB24" s="61"/>
      <c r="AC24" s="61"/>
      <c r="AI24" s="170">
        <f>COUNTIF(G40:G407,"=24")</f>
        <v>18</v>
      </c>
      <c r="AK24" s="170">
        <f>COUNTIF(G40:G407,"=31")</f>
        <v>0</v>
      </c>
    </row>
    <row r="25" spans="1:37" ht="14.4">
      <c r="A25" s="61"/>
      <c r="B25" s="61"/>
      <c r="C25" s="65"/>
      <c r="D25" s="180"/>
      <c r="E25" s="180"/>
      <c r="F25" s="365"/>
      <c r="G25" s="365"/>
      <c r="H25" s="365"/>
      <c r="I25" s="365"/>
      <c r="J25" s="365"/>
      <c r="K25" s="366"/>
      <c r="L25" s="367"/>
      <c r="M25" s="367"/>
      <c r="N25" s="367"/>
      <c r="O25" s="367"/>
      <c r="P25" s="61"/>
      <c r="Q25" s="61"/>
      <c r="R25" s="65"/>
      <c r="S25" s="61"/>
      <c r="T25" s="65"/>
      <c r="U25" s="61"/>
      <c r="V25" s="61"/>
      <c r="W25" s="61"/>
      <c r="X25" s="61"/>
      <c r="Y25" s="61"/>
      <c r="Z25" s="61"/>
      <c r="AA25" s="61"/>
      <c r="AB25" s="61"/>
      <c r="AC25" s="61"/>
      <c r="AI25" s="170">
        <f>COUNTIF(G40:G407,"=25")</f>
        <v>10</v>
      </c>
      <c r="AK25" s="170">
        <f>COUNTIF(G40:G407,"=32")</f>
        <v>2</v>
      </c>
    </row>
    <row r="26" spans="1:37" ht="14.4">
      <c r="A26" s="61"/>
      <c r="B26" s="61"/>
      <c r="C26" s="448"/>
      <c r="D26" s="180"/>
      <c r="E26" s="180"/>
      <c r="F26" s="547" t="s">
        <v>0</v>
      </c>
      <c r="G26" s="547"/>
      <c r="H26" s="365"/>
      <c r="I26" s="365"/>
      <c r="J26" s="365"/>
      <c r="K26" s="366"/>
      <c r="L26" s="367"/>
      <c r="M26" s="367"/>
      <c r="N26" s="367"/>
      <c r="O26" s="367"/>
      <c r="P26" s="61"/>
      <c r="Q26" s="61"/>
      <c r="R26" s="65"/>
      <c r="S26" s="61"/>
      <c r="T26" s="65"/>
      <c r="U26" s="61"/>
      <c r="V26" s="61"/>
      <c r="W26" s="61"/>
      <c r="X26" s="61"/>
      <c r="Y26" s="61"/>
      <c r="Z26" s="61"/>
      <c r="AA26" s="61"/>
      <c r="AB26" s="61"/>
      <c r="AC26" s="61"/>
      <c r="AI26" s="170">
        <f>SUM(AI8:AI25)</f>
        <v>28</v>
      </c>
      <c r="AK26" s="170">
        <f>COUNTIF(G40:G407,"=33")</f>
        <v>2</v>
      </c>
    </row>
    <row r="27" spans="1:37" ht="14.4">
      <c r="A27" s="61"/>
      <c r="B27" s="61"/>
      <c r="C27" s="448"/>
      <c r="D27" s="180"/>
      <c r="E27" s="180"/>
      <c r="F27" s="402" t="s">
        <v>2</v>
      </c>
      <c r="G27" s="357">
        <f>COUNTIF(F42:F480, "Female")</f>
        <v>348</v>
      </c>
      <c r="H27" s="365"/>
      <c r="I27" s="365"/>
      <c r="J27" s="365"/>
      <c r="K27" s="366"/>
      <c r="L27" s="367"/>
      <c r="M27" s="367"/>
      <c r="N27" s="367"/>
      <c r="O27" s="367"/>
      <c r="P27" s="61"/>
      <c r="Q27" s="61"/>
      <c r="R27" s="65"/>
      <c r="S27" s="61"/>
      <c r="T27" s="65"/>
      <c r="U27" s="61"/>
      <c r="V27" s="61"/>
      <c r="W27" s="61"/>
      <c r="X27" s="61"/>
      <c r="Y27" s="61"/>
      <c r="Z27" s="61"/>
      <c r="AA27" s="61"/>
      <c r="AB27" s="61"/>
      <c r="AC27" s="61"/>
      <c r="AK27" s="170">
        <f>COUNTIF(G40:G407,"=34")</f>
        <v>1</v>
      </c>
    </row>
    <row r="28" spans="1:37" ht="14.4">
      <c r="A28" s="61"/>
      <c r="B28" s="61"/>
      <c r="C28" s="448"/>
      <c r="D28" s="180"/>
      <c r="E28" s="180"/>
      <c r="F28" s="402" t="s">
        <v>4</v>
      </c>
      <c r="G28" s="357">
        <f>COUNTIF(F42:F480, "Male")</f>
        <v>18</v>
      </c>
      <c r="H28" s="365"/>
      <c r="I28" s="365"/>
      <c r="J28" s="365"/>
      <c r="K28" s="451"/>
      <c r="L28" s="367"/>
      <c r="M28" s="367"/>
      <c r="N28" s="367"/>
      <c r="O28" s="367"/>
      <c r="P28" s="61"/>
      <c r="Q28" s="61"/>
      <c r="R28" s="65"/>
      <c r="S28" s="61"/>
      <c r="T28" s="65"/>
      <c r="U28" s="61"/>
      <c r="V28" s="61"/>
      <c r="W28" s="61"/>
      <c r="X28" s="61"/>
      <c r="Y28" s="61"/>
      <c r="Z28" s="61"/>
      <c r="AA28" s="61"/>
      <c r="AB28" s="61"/>
      <c r="AC28" s="61"/>
      <c r="AK28" s="170">
        <f>COUNTIF(G40:G407,"=35")</f>
        <v>0</v>
      </c>
    </row>
    <row r="29" spans="1:37" ht="14.4">
      <c r="A29" s="61"/>
      <c r="B29" s="61"/>
      <c r="C29" s="448"/>
      <c r="D29" s="180"/>
      <c r="E29" s="180"/>
      <c r="F29" s="401" t="s">
        <v>87</v>
      </c>
      <c r="G29" s="450">
        <f>SUM(G27:G28)</f>
        <v>366</v>
      </c>
      <c r="H29" s="461" t="b">
        <f>J24=G27+G28</f>
        <v>1</v>
      </c>
      <c r="I29" s="365"/>
      <c r="J29" s="365"/>
      <c r="K29" s="366"/>
      <c r="L29" s="367"/>
      <c r="M29" s="367"/>
      <c r="N29" s="367"/>
      <c r="O29" s="367"/>
      <c r="P29" s="61"/>
      <c r="Q29" s="61"/>
      <c r="R29" s="65"/>
      <c r="S29" s="61"/>
      <c r="T29" s="65"/>
      <c r="U29" s="61"/>
      <c r="V29" s="61"/>
      <c r="W29" s="61"/>
      <c r="X29" s="61"/>
      <c r="Y29" s="61"/>
      <c r="Z29" s="61"/>
      <c r="AA29" s="61"/>
      <c r="AB29" s="61"/>
      <c r="AC29" s="61"/>
      <c r="AK29" s="170">
        <f>SUM(AK8:AK28)</f>
        <v>5</v>
      </c>
    </row>
    <row r="30" spans="1:37" ht="14.4">
      <c r="A30" s="61"/>
      <c r="B30" s="61"/>
      <c r="C30" s="448"/>
      <c r="D30" s="180"/>
      <c r="E30" s="180"/>
      <c r="F30" s="401" t="s">
        <v>86</v>
      </c>
      <c r="G30" s="365"/>
      <c r="H30" s="365"/>
      <c r="I30" s="365"/>
      <c r="J30" s="365"/>
      <c r="K30" s="366"/>
      <c r="L30" s="367"/>
      <c r="M30" s="367"/>
      <c r="N30" s="367"/>
      <c r="O30" s="367"/>
      <c r="P30" s="61"/>
      <c r="Q30" s="61"/>
      <c r="R30" s="65"/>
      <c r="S30" s="61"/>
      <c r="T30" s="65"/>
      <c r="U30" s="61"/>
      <c r="V30" s="61"/>
      <c r="W30" s="61"/>
      <c r="X30" s="61"/>
      <c r="Y30" s="61"/>
      <c r="Z30" s="61"/>
      <c r="AA30" s="61"/>
      <c r="AB30" s="61"/>
      <c r="AC30" s="61"/>
    </row>
    <row r="31" spans="1:37" ht="14.4">
      <c r="A31" s="61"/>
      <c r="B31" s="61"/>
      <c r="C31" s="65"/>
      <c r="D31" s="180"/>
      <c r="E31" s="180"/>
      <c r="F31" s="402" t="s">
        <v>132</v>
      </c>
      <c r="G31" s="350">
        <f>COUNTIF(G42:G407, "&lt;=18")</f>
        <v>47</v>
      </c>
      <c r="H31" s="365"/>
      <c r="I31" s="365"/>
      <c r="J31" s="365"/>
      <c r="K31" s="366"/>
      <c r="L31" s="367"/>
      <c r="M31" s="367"/>
      <c r="N31" s="367"/>
      <c r="O31" s="367"/>
      <c r="P31" s="61"/>
      <c r="Q31" s="61"/>
      <c r="R31" s="65"/>
      <c r="S31" s="61"/>
      <c r="T31" s="65"/>
      <c r="U31" s="61"/>
      <c r="V31" s="61"/>
      <c r="W31" s="61"/>
      <c r="X31" s="61"/>
      <c r="Y31" s="61"/>
      <c r="Z31" s="61"/>
      <c r="AA31" s="61"/>
      <c r="AB31" s="61"/>
      <c r="AC31" s="61"/>
    </row>
    <row r="32" spans="1:37" ht="14.4">
      <c r="A32" s="61"/>
      <c r="B32" s="61"/>
      <c r="C32" s="65"/>
      <c r="D32" s="180"/>
      <c r="E32" s="180"/>
      <c r="F32" s="402" t="s">
        <v>134</v>
      </c>
      <c r="G32" s="350">
        <f>AI26</f>
        <v>28</v>
      </c>
      <c r="H32" s="365"/>
      <c r="I32" s="365"/>
      <c r="J32" s="365"/>
      <c r="K32" s="366"/>
      <c r="L32" s="367"/>
      <c r="M32" s="367"/>
      <c r="N32" s="367"/>
      <c r="O32" s="367"/>
      <c r="P32" s="61"/>
      <c r="Q32" s="61"/>
      <c r="R32" s="65"/>
      <c r="S32" s="61"/>
      <c r="T32" s="65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4.4">
      <c r="A33" s="61"/>
      <c r="B33" s="61"/>
      <c r="C33" s="65"/>
      <c r="D33" s="180"/>
      <c r="E33" s="180"/>
      <c r="F33" s="402" t="s">
        <v>135</v>
      </c>
      <c r="G33" s="350">
        <f>AK29</f>
        <v>5</v>
      </c>
      <c r="H33" s="365"/>
      <c r="I33" s="365"/>
      <c r="J33" s="365"/>
      <c r="K33" s="366"/>
      <c r="L33" s="367"/>
      <c r="M33" s="367"/>
      <c r="N33" s="367"/>
      <c r="O33" s="367"/>
      <c r="P33" s="61"/>
      <c r="Q33" s="61"/>
      <c r="R33" s="65"/>
      <c r="S33" s="61"/>
      <c r="T33" s="65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4.4">
      <c r="A34" s="61"/>
      <c r="B34" s="61"/>
      <c r="C34" s="65"/>
      <c r="D34" s="180"/>
      <c r="E34" s="180"/>
      <c r="F34" s="402" t="s">
        <v>133</v>
      </c>
      <c r="G34" s="350">
        <f>COUNTIF(G42:G407, "&gt;35")</f>
        <v>1</v>
      </c>
      <c r="H34" s="365"/>
      <c r="I34" s="365"/>
      <c r="J34" s="365"/>
      <c r="K34" s="366"/>
      <c r="L34" s="367"/>
      <c r="M34" s="367"/>
      <c r="N34" s="367"/>
      <c r="O34" s="367"/>
      <c r="P34" s="61"/>
      <c r="Q34" s="61"/>
      <c r="R34" s="65"/>
      <c r="S34" s="61"/>
      <c r="T34" s="65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4.4">
      <c r="A35" s="61"/>
      <c r="B35" s="61"/>
      <c r="C35" s="65"/>
      <c r="D35" s="180"/>
      <c r="E35" s="180"/>
      <c r="F35" s="401" t="s">
        <v>87</v>
      </c>
      <c r="G35" s="365">
        <f>SUM(G31:G34)</f>
        <v>81</v>
      </c>
      <c r="H35" s="376" t="b">
        <f>G35=J24</f>
        <v>0</v>
      </c>
      <c r="I35" s="365"/>
      <c r="J35" s="365"/>
      <c r="K35" s="366"/>
      <c r="L35" s="367"/>
      <c r="M35" s="367"/>
      <c r="N35" s="367"/>
      <c r="O35" s="367"/>
      <c r="P35" s="61"/>
      <c r="Q35" s="61"/>
      <c r="R35" s="65"/>
      <c r="S35" s="61"/>
      <c r="T35" s="65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4.4">
      <c r="A36" s="61"/>
      <c r="B36" s="61"/>
      <c r="C36" s="65"/>
      <c r="D36" s="180"/>
      <c r="E36" s="180"/>
      <c r="F36" s="401"/>
      <c r="G36" s="365"/>
      <c r="H36" s="365"/>
      <c r="I36" s="365"/>
      <c r="J36" s="365"/>
      <c r="K36" s="366"/>
      <c r="L36" s="367"/>
      <c r="M36" s="367"/>
      <c r="N36" s="367"/>
      <c r="O36" s="367"/>
      <c r="P36" s="61"/>
      <c r="Q36" s="61"/>
      <c r="R36" s="65"/>
      <c r="S36" s="61"/>
      <c r="T36" s="65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4.4">
      <c r="A37" s="19"/>
      <c r="B37" s="80"/>
      <c r="C37" s="455"/>
      <c r="D37" s="60"/>
      <c r="E37" s="456"/>
      <c r="F37" s="151" t="s">
        <v>103</v>
      </c>
      <c r="G37" s="152"/>
      <c r="H37" s="176"/>
      <c r="I37" s="359"/>
      <c r="J37" s="358"/>
      <c r="K37" s="358"/>
      <c r="L37" s="358"/>
      <c r="M37" s="358"/>
      <c r="N37" s="18"/>
      <c r="O37" s="18"/>
      <c r="P37" s="18"/>
      <c r="Q37" s="18"/>
      <c r="R37" s="57"/>
      <c r="S37" s="18"/>
      <c r="T37" s="57"/>
      <c r="U37" s="58"/>
      <c r="V37" s="58"/>
      <c r="W37" s="58"/>
      <c r="X37" s="58"/>
      <c r="Y37" s="58"/>
      <c r="Z37" s="58"/>
      <c r="AA37" s="58"/>
      <c r="AB37" s="58"/>
      <c r="AC37" s="58"/>
    </row>
    <row r="38" spans="1:29" ht="27.6" customHeight="1">
      <c r="A38" s="19"/>
      <c r="B38" s="80"/>
      <c r="C38" s="455"/>
      <c r="D38" s="60"/>
      <c r="E38" s="456"/>
      <c r="F38" s="20" t="s">
        <v>21</v>
      </c>
      <c r="G38" s="152"/>
      <c r="H38" s="169">
        <f>SUM(J3:J23)</f>
        <v>0</v>
      </c>
      <c r="J38" s="359"/>
      <c r="K38" s="358"/>
      <c r="L38" s="370"/>
      <c r="M38" s="358"/>
      <c r="N38" s="18"/>
      <c r="O38" s="18"/>
      <c r="P38" s="18"/>
      <c r="Q38" s="18"/>
      <c r="R38" s="57"/>
      <c r="S38" s="18"/>
      <c r="T38" s="57"/>
      <c r="U38" s="58"/>
      <c r="V38" s="58"/>
      <c r="W38" s="58"/>
      <c r="X38" s="58"/>
      <c r="Y38" s="58"/>
      <c r="Z38" s="58"/>
      <c r="AA38" s="58"/>
      <c r="AB38" s="58"/>
      <c r="AC38" s="58"/>
    </row>
    <row r="39" spans="1:29" ht="15" thickBot="1">
      <c r="A39" s="19"/>
      <c r="B39" s="80"/>
      <c r="C39" s="455"/>
      <c r="D39" s="58"/>
      <c r="E39" s="61"/>
      <c r="F39" s="18"/>
      <c r="G39" s="80"/>
      <c r="H39" s="20"/>
      <c r="I39" s="360"/>
      <c r="J39" s="360" t="s">
        <v>142</v>
      </c>
      <c r="K39" s="360"/>
      <c r="L39" s="360"/>
      <c r="M39" s="360"/>
      <c r="N39" s="18"/>
      <c r="O39" s="18"/>
      <c r="P39" s="18"/>
      <c r="Q39" s="18"/>
      <c r="R39" s="57"/>
      <c r="S39" s="18"/>
      <c r="T39" s="57"/>
      <c r="U39" s="58"/>
      <c r="V39" s="58"/>
      <c r="W39" s="58"/>
      <c r="X39" s="58"/>
      <c r="Y39" s="58"/>
      <c r="Z39" s="58"/>
      <c r="AA39" s="58"/>
      <c r="AB39" s="58"/>
      <c r="AC39" s="58"/>
    </row>
    <row r="40" spans="1:29" ht="241.05" customHeight="1" thickBot="1">
      <c r="A40" s="560"/>
      <c r="B40" s="462" t="s">
        <v>155</v>
      </c>
      <c r="C40" s="562" t="s">
        <v>118</v>
      </c>
      <c r="D40" s="556" t="s">
        <v>24</v>
      </c>
      <c r="E40" s="556" t="s">
        <v>146</v>
      </c>
      <c r="F40" s="564" t="s">
        <v>0</v>
      </c>
      <c r="G40" s="564" t="s">
        <v>86</v>
      </c>
      <c r="H40" s="556" t="s">
        <v>25</v>
      </c>
      <c r="I40" s="558" t="s">
        <v>26</v>
      </c>
      <c r="J40" s="548" t="s">
        <v>68</v>
      </c>
      <c r="K40" s="549"/>
      <c r="L40" s="550"/>
      <c r="M40" s="551" t="s">
        <v>27</v>
      </c>
      <c r="N40" s="552"/>
      <c r="O40" s="552"/>
      <c r="P40" s="552"/>
      <c r="Q40" s="553"/>
      <c r="R40" s="554" t="s">
        <v>30</v>
      </c>
      <c r="S40" s="153" t="s">
        <v>28</v>
      </c>
      <c r="T40" s="554" t="s">
        <v>29</v>
      </c>
      <c r="U40" s="61"/>
      <c r="V40" s="59"/>
      <c r="W40" s="59"/>
      <c r="X40" s="59"/>
      <c r="Y40" s="59"/>
      <c r="Z40" s="59"/>
      <c r="AA40" s="59"/>
      <c r="AB40" s="59"/>
      <c r="AC40" s="59"/>
    </row>
    <row r="41" spans="1:29" ht="42" thickBot="1">
      <c r="A41" s="561"/>
      <c r="B41" s="463"/>
      <c r="C41" s="563"/>
      <c r="D41" s="557"/>
      <c r="E41" s="568"/>
      <c r="F41" s="565"/>
      <c r="G41" s="565"/>
      <c r="H41" s="557"/>
      <c r="I41" s="559"/>
      <c r="J41" s="361" t="s">
        <v>69</v>
      </c>
      <c r="K41" s="361" t="s">
        <v>73</v>
      </c>
      <c r="L41" s="361" t="s">
        <v>70</v>
      </c>
      <c r="M41" s="362" t="s">
        <v>85</v>
      </c>
      <c r="N41" s="362" t="s">
        <v>92</v>
      </c>
      <c r="O41" s="362" t="s">
        <v>93</v>
      </c>
      <c r="P41" s="363" t="s">
        <v>94</v>
      </c>
      <c r="Q41" s="489" t="s">
        <v>95</v>
      </c>
      <c r="R41" s="555"/>
      <c r="S41" s="318"/>
      <c r="T41" s="555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82.8">
      <c r="A42" s="481">
        <v>1</v>
      </c>
      <c r="B42" s="173" t="s">
        <v>158</v>
      </c>
      <c r="C42" s="473" t="str">
        <f>LEFT(D42,3)</f>
        <v>366</v>
      </c>
      <c r="D42" s="474">
        <v>366</v>
      </c>
      <c r="E42" s="173" t="s">
        <v>169</v>
      </c>
      <c r="F42" s="173" t="s">
        <v>2</v>
      </c>
      <c r="G42" s="173">
        <v>21</v>
      </c>
      <c r="H42" s="173" t="s">
        <v>3</v>
      </c>
      <c r="I42" s="372" t="s">
        <v>533</v>
      </c>
      <c r="J42" s="476"/>
      <c r="K42" s="476"/>
      <c r="L42" s="476"/>
      <c r="M42" s="173">
        <v>1</v>
      </c>
      <c r="N42" s="478">
        <v>1</v>
      </c>
      <c r="O42" s="173">
        <v>0</v>
      </c>
      <c r="P42" s="454"/>
      <c r="Q42" s="173">
        <v>1</v>
      </c>
      <c r="R42" s="477">
        <f t="shared" ref="R42:R105" si="0">IF(OR(M42=1,N42=1,O42=1,P42=1,Q42=1),1,0)</f>
        <v>1</v>
      </c>
      <c r="S42" s="475"/>
      <c r="T42" s="477" t="s">
        <v>5</v>
      </c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82.8">
      <c r="A43" s="481">
        <v>2</v>
      </c>
      <c r="B43" s="482" t="s">
        <v>159</v>
      </c>
      <c r="C43" s="473" t="str">
        <f t="shared" ref="C43:C106" si="1">LEFT(D43,3)</f>
        <v>366</v>
      </c>
      <c r="D43" s="474">
        <v>366</v>
      </c>
      <c r="E43" s="173" t="s">
        <v>170</v>
      </c>
      <c r="F43" s="173" t="s">
        <v>2</v>
      </c>
      <c r="G43" s="173">
        <v>20</v>
      </c>
      <c r="H43" s="173" t="s">
        <v>3</v>
      </c>
      <c r="I43" s="372" t="s">
        <v>534</v>
      </c>
      <c r="J43" s="476"/>
      <c r="K43" s="476"/>
      <c r="L43" s="476"/>
      <c r="M43" s="173">
        <v>1</v>
      </c>
      <c r="N43" s="478">
        <v>1</v>
      </c>
      <c r="O43" s="173"/>
      <c r="P43" s="454"/>
      <c r="Q43" s="173">
        <v>1</v>
      </c>
      <c r="R43" s="477">
        <f t="shared" si="0"/>
        <v>1</v>
      </c>
      <c r="S43" s="475"/>
      <c r="T43" s="477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41.4">
      <c r="A44" s="481">
        <v>3</v>
      </c>
      <c r="B44" s="483" t="s">
        <v>158</v>
      </c>
      <c r="C44" s="473" t="str">
        <f t="shared" si="1"/>
        <v>366</v>
      </c>
      <c r="D44" s="474">
        <v>366</v>
      </c>
      <c r="E44" s="483" t="s">
        <v>171</v>
      </c>
      <c r="F44" s="173" t="s">
        <v>2</v>
      </c>
      <c r="G44" s="173">
        <v>20</v>
      </c>
      <c r="H44" s="173" t="s">
        <v>3</v>
      </c>
      <c r="I44" s="372" t="s">
        <v>535</v>
      </c>
      <c r="J44" s="476"/>
      <c r="K44" s="476"/>
      <c r="L44" s="476"/>
      <c r="M44" s="173">
        <v>1</v>
      </c>
      <c r="N44" s="478">
        <v>1</v>
      </c>
      <c r="O44" s="173">
        <v>1</v>
      </c>
      <c r="P44" s="454"/>
      <c r="Q44" s="173">
        <v>1</v>
      </c>
      <c r="R44" s="477">
        <f t="shared" si="0"/>
        <v>1</v>
      </c>
      <c r="S44" s="475"/>
      <c r="T44" s="477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41.4">
      <c r="A45" s="481">
        <v>4</v>
      </c>
      <c r="B45" s="173" t="s">
        <v>159</v>
      </c>
      <c r="C45" s="473" t="str">
        <f t="shared" si="1"/>
        <v>366</v>
      </c>
      <c r="D45" s="474">
        <v>366</v>
      </c>
      <c r="E45" s="173" t="s">
        <v>172</v>
      </c>
      <c r="F45" s="173" t="s">
        <v>2</v>
      </c>
      <c r="G45" s="173">
        <v>21</v>
      </c>
      <c r="H45" s="173" t="s">
        <v>3</v>
      </c>
      <c r="I45" s="372" t="s">
        <v>536</v>
      </c>
      <c r="J45" s="476"/>
      <c r="K45" s="476"/>
      <c r="L45" s="476"/>
      <c r="M45" s="173">
        <v>1</v>
      </c>
      <c r="N45" s="478">
        <v>1</v>
      </c>
      <c r="O45" s="173"/>
      <c r="P45" s="454"/>
      <c r="Q45" s="173"/>
      <c r="R45" s="477">
        <f t="shared" si="0"/>
        <v>1</v>
      </c>
      <c r="S45" s="475"/>
      <c r="T45" s="477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55.2">
      <c r="A46" s="481">
        <v>5</v>
      </c>
      <c r="B46" s="173" t="s">
        <v>159</v>
      </c>
      <c r="C46" s="473" t="str">
        <f t="shared" si="1"/>
        <v>366</v>
      </c>
      <c r="D46" s="474">
        <v>366</v>
      </c>
      <c r="E46" s="173" t="s">
        <v>173</v>
      </c>
      <c r="F46" s="173" t="s">
        <v>2</v>
      </c>
      <c r="G46" s="173">
        <v>19</v>
      </c>
      <c r="H46" s="173" t="s">
        <v>3</v>
      </c>
      <c r="I46" s="372" t="s">
        <v>537</v>
      </c>
      <c r="J46" s="476"/>
      <c r="K46" s="476"/>
      <c r="L46" s="476"/>
      <c r="M46" s="173">
        <v>1</v>
      </c>
      <c r="N46" s="478">
        <v>1</v>
      </c>
      <c r="O46" s="173"/>
      <c r="P46" s="454"/>
      <c r="Q46" s="173">
        <v>1</v>
      </c>
      <c r="R46" s="477">
        <f t="shared" si="0"/>
        <v>1</v>
      </c>
      <c r="S46" s="475"/>
      <c r="T46" s="477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41.4">
      <c r="A47" s="481">
        <v>6</v>
      </c>
      <c r="B47" s="173" t="s">
        <v>158</v>
      </c>
      <c r="C47" s="473" t="str">
        <f t="shared" si="1"/>
        <v>366</v>
      </c>
      <c r="D47" s="474">
        <v>366</v>
      </c>
      <c r="E47" s="173" t="s">
        <v>174</v>
      </c>
      <c r="F47" s="173" t="s">
        <v>2</v>
      </c>
      <c r="G47" s="173">
        <v>18</v>
      </c>
      <c r="H47" s="173" t="s">
        <v>3</v>
      </c>
      <c r="I47" s="372" t="s">
        <v>538</v>
      </c>
      <c r="J47" s="476"/>
      <c r="K47" s="476"/>
      <c r="L47" s="476"/>
      <c r="M47" s="173">
        <v>1</v>
      </c>
      <c r="N47" s="478">
        <v>0</v>
      </c>
      <c r="O47" s="173"/>
      <c r="P47" s="454"/>
      <c r="Q47" s="173">
        <v>1</v>
      </c>
      <c r="R47" s="477">
        <f t="shared" si="0"/>
        <v>1</v>
      </c>
      <c r="S47" s="475"/>
      <c r="T47" s="477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4.4">
      <c r="A48" s="481">
        <v>7</v>
      </c>
      <c r="B48" s="173" t="s">
        <v>158</v>
      </c>
      <c r="C48" s="473" t="str">
        <f t="shared" si="1"/>
        <v>366</v>
      </c>
      <c r="D48" s="474">
        <v>366</v>
      </c>
      <c r="E48" s="173" t="s">
        <v>175</v>
      </c>
      <c r="F48" s="173" t="s">
        <v>2</v>
      </c>
      <c r="G48" s="173">
        <v>19</v>
      </c>
      <c r="H48" s="173" t="s">
        <v>3</v>
      </c>
      <c r="I48" s="372" t="s">
        <v>539</v>
      </c>
      <c r="J48" s="476"/>
      <c r="K48" s="476"/>
      <c r="L48" s="476"/>
      <c r="M48" s="173">
        <v>1</v>
      </c>
      <c r="N48" s="478">
        <v>0</v>
      </c>
      <c r="O48" s="173"/>
      <c r="P48" s="454"/>
      <c r="Q48" s="173">
        <v>1</v>
      </c>
      <c r="R48" s="477">
        <f t="shared" si="0"/>
        <v>1</v>
      </c>
      <c r="S48" s="475"/>
      <c r="T48" s="477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41.4">
      <c r="A49" s="481">
        <v>8</v>
      </c>
      <c r="B49" s="173" t="s">
        <v>159</v>
      </c>
      <c r="C49" s="473" t="str">
        <f t="shared" si="1"/>
        <v>366</v>
      </c>
      <c r="D49" s="474">
        <v>366</v>
      </c>
      <c r="E49" s="173" t="s">
        <v>176</v>
      </c>
      <c r="F49" s="173" t="s">
        <v>2</v>
      </c>
      <c r="G49" s="173">
        <v>19</v>
      </c>
      <c r="H49" s="173" t="s">
        <v>3</v>
      </c>
      <c r="I49" s="372" t="s">
        <v>540</v>
      </c>
      <c r="J49" s="476"/>
      <c r="K49" s="476"/>
      <c r="L49" s="476"/>
      <c r="M49" s="173">
        <v>1</v>
      </c>
      <c r="N49" s="478">
        <v>0</v>
      </c>
      <c r="O49" s="173"/>
      <c r="P49" s="454"/>
      <c r="Q49" s="173">
        <v>1</v>
      </c>
      <c r="R49" s="477">
        <f t="shared" si="0"/>
        <v>1</v>
      </c>
      <c r="S49" s="475"/>
      <c r="T49" s="477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27.6">
      <c r="A50" s="481">
        <v>9</v>
      </c>
      <c r="B50" s="173" t="s">
        <v>159</v>
      </c>
      <c r="C50" s="473" t="str">
        <f t="shared" si="1"/>
        <v>366</v>
      </c>
      <c r="D50" s="474">
        <v>366</v>
      </c>
      <c r="E50" s="173" t="s">
        <v>177</v>
      </c>
      <c r="F50" s="173" t="s">
        <v>2</v>
      </c>
      <c r="G50" s="173">
        <v>17</v>
      </c>
      <c r="H50" s="173" t="s">
        <v>3</v>
      </c>
      <c r="I50" s="372" t="s">
        <v>541</v>
      </c>
      <c r="J50" s="476"/>
      <c r="K50" s="476"/>
      <c r="L50" s="476"/>
      <c r="M50" s="173">
        <v>1</v>
      </c>
      <c r="N50" s="478">
        <v>1</v>
      </c>
      <c r="O50" s="173"/>
      <c r="P50" s="454"/>
      <c r="Q50" s="173"/>
      <c r="R50" s="477">
        <f t="shared" si="0"/>
        <v>1</v>
      </c>
      <c r="S50" s="475"/>
      <c r="T50" s="477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27.6">
      <c r="A51" s="481">
        <v>10</v>
      </c>
      <c r="B51" s="173" t="s">
        <v>158</v>
      </c>
      <c r="C51" s="473" t="str">
        <f t="shared" si="1"/>
        <v>366</v>
      </c>
      <c r="D51" s="474">
        <v>366</v>
      </c>
      <c r="E51" s="173" t="s">
        <v>178</v>
      </c>
      <c r="F51" s="173" t="s">
        <v>2</v>
      </c>
      <c r="G51" s="173">
        <v>20</v>
      </c>
      <c r="H51" s="173" t="s">
        <v>3</v>
      </c>
      <c r="I51" s="372" t="s">
        <v>542</v>
      </c>
      <c r="J51" s="476"/>
      <c r="K51" s="476"/>
      <c r="L51" s="476"/>
      <c r="M51" s="173">
        <v>1</v>
      </c>
      <c r="N51" s="478">
        <v>1</v>
      </c>
      <c r="O51" s="173"/>
      <c r="P51" s="454"/>
      <c r="Q51" s="173"/>
      <c r="R51" s="477">
        <f t="shared" si="0"/>
        <v>1</v>
      </c>
      <c r="S51" s="475"/>
      <c r="T51" s="477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55.2">
      <c r="A52" s="481">
        <v>11</v>
      </c>
      <c r="B52" s="173" t="s">
        <v>159</v>
      </c>
      <c r="C52" s="473" t="str">
        <f t="shared" si="1"/>
        <v>366</v>
      </c>
      <c r="D52" s="474">
        <v>366</v>
      </c>
      <c r="E52" s="173" t="s">
        <v>179</v>
      </c>
      <c r="F52" s="173" t="s">
        <v>2</v>
      </c>
      <c r="G52" s="173">
        <v>19</v>
      </c>
      <c r="H52" s="173" t="s">
        <v>3</v>
      </c>
      <c r="I52" s="372" t="s">
        <v>543</v>
      </c>
      <c r="J52" s="476"/>
      <c r="K52" s="476"/>
      <c r="L52" s="476"/>
      <c r="M52" s="173">
        <v>1</v>
      </c>
      <c r="N52" s="478">
        <v>1</v>
      </c>
      <c r="O52" s="173"/>
      <c r="P52" s="454"/>
      <c r="Q52" s="173"/>
      <c r="R52" s="477">
        <f t="shared" si="0"/>
        <v>1</v>
      </c>
      <c r="S52" s="475"/>
      <c r="T52" s="477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41.4">
      <c r="A53" s="481">
        <v>12</v>
      </c>
      <c r="B53" s="173" t="s">
        <v>159</v>
      </c>
      <c r="C53" s="473" t="str">
        <f t="shared" si="1"/>
        <v>366</v>
      </c>
      <c r="D53" s="474">
        <v>366</v>
      </c>
      <c r="E53" s="173" t="s">
        <v>180</v>
      </c>
      <c r="F53" s="173" t="s">
        <v>2</v>
      </c>
      <c r="G53" s="173">
        <v>19</v>
      </c>
      <c r="H53" s="173" t="s">
        <v>3</v>
      </c>
      <c r="I53" s="372" t="s">
        <v>544</v>
      </c>
      <c r="J53" s="476"/>
      <c r="K53" s="476"/>
      <c r="L53" s="476"/>
      <c r="M53" s="173">
        <v>1</v>
      </c>
      <c r="N53" s="478">
        <v>0</v>
      </c>
      <c r="O53" s="173"/>
      <c r="P53" s="454"/>
      <c r="Q53" s="173"/>
      <c r="R53" s="477">
        <f t="shared" si="0"/>
        <v>1</v>
      </c>
      <c r="S53" s="475"/>
      <c r="T53" s="477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27.6">
      <c r="A54" s="481">
        <v>13</v>
      </c>
      <c r="B54" s="173" t="s">
        <v>159</v>
      </c>
      <c r="C54" s="473" t="str">
        <f t="shared" si="1"/>
        <v>366</v>
      </c>
      <c r="D54" s="474">
        <v>366</v>
      </c>
      <c r="E54" s="173" t="s">
        <v>181</v>
      </c>
      <c r="F54" s="173" t="s">
        <v>2</v>
      </c>
      <c r="G54" s="173">
        <v>19</v>
      </c>
      <c r="H54" s="173" t="s">
        <v>3</v>
      </c>
      <c r="I54" s="372" t="s">
        <v>545</v>
      </c>
      <c r="J54" s="476"/>
      <c r="K54" s="476"/>
      <c r="L54" s="476"/>
      <c r="M54" s="173">
        <v>1</v>
      </c>
      <c r="N54" s="478">
        <v>1</v>
      </c>
      <c r="O54" s="173"/>
      <c r="P54" s="454"/>
      <c r="Q54" s="173"/>
      <c r="R54" s="477">
        <f t="shared" si="0"/>
        <v>1</v>
      </c>
      <c r="S54" s="475"/>
      <c r="T54" s="477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4.4">
      <c r="A55" s="481">
        <v>14</v>
      </c>
      <c r="B55" s="173" t="s">
        <v>158</v>
      </c>
      <c r="C55" s="473" t="str">
        <f t="shared" si="1"/>
        <v>366</v>
      </c>
      <c r="D55" s="474">
        <v>366</v>
      </c>
      <c r="E55" s="173" t="s">
        <v>182</v>
      </c>
      <c r="F55" s="173" t="s">
        <v>2</v>
      </c>
      <c r="G55" s="173">
        <v>21</v>
      </c>
      <c r="H55" s="173" t="s">
        <v>3</v>
      </c>
      <c r="I55" s="372" t="s">
        <v>546</v>
      </c>
      <c r="J55" s="476"/>
      <c r="K55" s="476"/>
      <c r="L55" s="476"/>
      <c r="M55" s="173">
        <v>1</v>
      </c>
      <c r="N55" s="478">
        <v>1</v>
      </c>
      <c r="O55" s="173">
        <v>0</v>
      </c>
      <c r="P55" s="454"/>
      <c r="Q55" s="173">
        <v>1</v>
      </c>
      <c r="R55" s="477">
        <f t="shared" si="0"/>
        <v>1</v>
      </c>
      <c r="S55" s="475"/>
      <c r="T55" s="477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41.4">
      <c r="A56" s="481">
        <v>15</v>
      </c>
      <c r="B56" s="173" t="s">
        <v>159</v>
      </c>
      <c r="C56" s="473" t="str">
        <f t="shared" si="1"/>
        <v>366</v>
      </c>
      <c r="D56" s="474">
        <v>366</v>
      </c>
      <c r="E56" s="173" t="s">
        <v>183</v>
      </c>
      <c r="F56" s="173" t="s">
        <v>2</v>
      </c>
      <c r="G56" s="173">
        <v>19</v>
      </c>
      <c r="H56" s="173" t="s">
        <v>3</v>
      </c>
      <c r="I56" s="372" t="s">
        <v>547</v>
      </c>
      <c r="J56" s="476"/>
      <c r="K56" s="476"/>
      <c r="L56" s="476"/>
      <c r="M56" s="173">
        <v>1</v>
      </c>
      <c r="N56" s="478">
        <v>1</v>
      </c>
      <c r="O56" s="173"/>
      <c r="P56" s="454"/>
      <c r="Q56" s="173"/>
      <c r="R56" s="477">
        <f t="shared" si="0"/>
        <v>1</v>
      </c>
      <c r="S56" s="475"/>
      <c r="T56" s="477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69">
      <c r="A57" s="481">
        <v>16</v>
      </c>
      <c r="B57" s="173" t="s">
        <v>159</v>
      </c>
      <c r="C57" s="473" t="str">
        <f t="shared" si="1"/>
        <v>366</v>
      </c>
      <c r="D57" s="474">
        <v>366</v>
      </c>
      <c r="E57" s="173" t="s">
        <v>184</v>
      </c>
      <c r="F57" s="173" t="s">
        <v>2</v>
      </c>
      <c r="G57" s="173">
        <v>20</v>
      </c>
      <c r="H57" s="173" t="s">
        <v>3</v>
      </c>
      <c r="I57" s="372" t="s">
        <v>548</v>
      </c>
      <c r="J57" s="476"/>
      <c r="K57" s="476"/>
      <c r="L57" s="476"/>
      <c r="M57" s="173">
        <v>1</v>
      </c>
      <c r="N57" s="478">
        <v>1</v>
      </c>
      <c r="O57" s="173"/>
      <c r="P57" s="454"/>
      <c r="Q57" s="173"/>
      <c r="R57" s="477">
        <f t="shared" si="0"/>
        <v>1</v>
      </c>
      <c r="S57" s="475"/>
      <c r="T57" s="477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27.6">
      <c r="A58" s="481">
        <v>17</v>
      </c>
      <c r="B58" s="173" t="s">
        <v>159</v>
      </c>
      <c r="C58" s="473" t="str">
        <f t="shared" si="1"/>
        <v>366</v>
      </c>
      <c r="D58" s="474">
        <v>366</v>
      </c>
      <c r="E58" s="173" t="s">
        <v>185</v>
      </c>
      <c r="F58" s="173" t="s">
        <v>2</v>
      </c>
      <c r="G58" s="173">
        <v>20</v>
      </c>
      <c r="H58" s="173" t="s">
        <v>3</v>
      </c>
      <c r="I58" s="372" t="s">
        <v>549</v>
      </c>
      <c r="J58" s="476"/>
      <c r="K58" s="476"/>
      <c r="L58" s="476"/>
      <c r="M58" s="173">
        <v>1</v>
      </c>
      <c r="N58" s="478">
        <v>1</v>
      </c>
      <c r="O58" s="173"/>
      <c r="P58" s="454"/>
      <c r="Q58" s="173"/>
      <c r="R58" s="477">
        <f t="shared" si="0"/>
        <v>1</v>
      </c>
      <c r="S58" s="475"/>
      <c r="T58" s="477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27.6">
      <c r="A59" s="481">
        <v>18</v>
      </c>
      <c r="B59" s="173" t="s">
        <v>159</v>
      </c>
      <c r="C59" s="473" t="str">
        <f t="shared" si="1"/>
        <v>366</v>
      </c>
      <c r="D59" s="474">
        <v>366</v>
      </c>
      <c r="E59" s="173" t="s">
        <v>186</v>
      </c>
      <c r="F59" s="173" t="s">
        <v>2</v>
      </c>
      <c r="G59" s="173">
        <v>16</v>
      </c>
      <c r="H59" s="173" t="s">
        <v>3</v>
      </c>
      <c r="I59" s="372" t="s">
        <v>550</v>
      </c>
      <c r="J59" s="476"/>
      <c r="K59" s="476"/>
      <c r="L59" s="476"/>
      <c r="M59" s="173">
        <v>1</v>
      </c>
      <c r="N59" s="478">
        <v>0</v>
      </c>
      <c r="O59" s="173">
        <v>1</v>
      </c>
      <c r="P59" s="454"/>
      <c r="Q59" s="173"/>
      <c r="R59" s="477">
        <f t="shared" si="0"/>
        <v>1</v>
      </c>
      <c r="S59" s="475"/>
      <c r="T59" s="477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4.4">
      <c r="A60" s="481">
        <v>19</v>
      </c>
      <c r="B60" s="173" t="s">
        <v>158</v>
      </c>
      <c r="C60" s="473" t="str">
        <f t="shared" si="1"/>
        <v>366</v>
      </c>
      <c r="D60" s="474">
        <v>366</v>
      </c>
      <c r="E60" s="173" t="s">
        <v>187</v>
      </c>
      <c r="F60" s="173" t="s">
        <v>2</v>
      </c>
      <c r="G60" s="173">
        <v>19</v>
      </c>
      <c r="H60" s="173" t="s">
        <v>3</v>
      </c>
      <c r="I60" s="372" t="s">
        <v>551</v>
      </c>
      <c r="J60" s="476"/>
      <c r="K60" s="476"/>
      <c r="L60" s="476"/>
      <c r="M60" s="173">
        <v>1</v>
      </c>
      <c r="N60" s="478">
        <v>0</v>
      </c>
      <c r="O60" s="173">
        <v>1</v>
      </c>
      <c r="P60" s="454"/>
      <c r="Q60" s="173">
        <v>1</v>
      </c>
      <c r="R60" s="477">
        <f t="shared" si="0"/>
        <v>1</v>
      </c>
      <c r="S60" s="475"/>
      <c r="T60" s="477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4.4">
      <c r="A61" s="481">
        <v>20</v>
      </c>
      <c r="B61" s="173" t="s">
        <v>158</v>
      </c>
      <c r="C61" s="473" t="str">
        <f t="shared" si="1"/>
        <v>366</v>
      </c>
      <c r="D61" s="474">
        <v>366</v>
      </c>
      <c r="E61" s="173" t="s">
        <v>188</v>
      </c>
      <c r="F61" s="173" t="s">
        <v>2</v>
      </c>
      <c r="G61" s="173">
        <v>18</v>
      </c>
      <c r="H61" s="173" t="s">
        <v>3</v>
      </c>
      <c r="I61" s="372" t="s">
        <v>552</v>
      </c>
      <c r="J61" s="476"/>
      <c r="K61" s="476"/>
      <c r="L61" s="476"/>
      <c r="M61" s="173">
        <v>1</v>
      </c>
      <c r="N61" s="478">
        <v>0</v>
      </c>
      <c r="O61" s="173"/>
      <c r="P61" s="454"/>
      <c r="Q61" s="173"/>
      <c r="R61" s="477">
        <f t="shared" si="0"/>
        <v>1</v>
      </c>
      <c r="S61" s="475"/>
      <c r="T61" s="477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27.6">
      <c r="A62" s="481">
        <v>21</v>
      </c>
      <c r="B62" s="173" t="s">
        <v>159</v>
      </c>
      <c r="C62" s="473" t="str">
        <f t="shared" si="1"/>
        <v>366</v>
      </c>
      <c r="D62" s="474">
        <v>366</v>
      </c>
      <c r="E62" s="173" t="s">
        <v>189</v>
      </c>
      <c r="F62" s="173" t="s">
        <v>2</v>
      </c>
      <c r="G62" s="173">
        <v>20</v>
      </c>
      <c r="H62" s="173" t="s">
        <v>3</v>
      </c>
      <c r="I62" s="372" t="s">
        <v>553</v>
      </c>
      <c r="J62" s="476"/>
      <c r="K62" s="476"/>
      <c r="L62" s="476"/>
      <c r="M62" s="173">
        <v>1</v>
      </c>
      <c r="N62" s="478">
        <v>1</v>
      </c>
      <c r="O62" s="173"/>
      <c r="P62" s="454"/>
      <c r="Q62" s="173"/>
      <c r="R62" s="477">
        <f t="shared" si="0"/>
        <v>1</v>
      </c>
      <c r="S62" s="475"/>
      <c r="T62" s="477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55.2">
      <c r="A63" s="481">
        <v>22</v>
      </c>
      <c r="B63" s="173" t="s">
        <v>159</v>
      </c>
      <c r="C63" s="473" t="str">
        <f t="shared" si="1"/>
        <v>366</v>
      </c>
      <c r="D63" s="474">
        <v>366</v>
      </c>
      <c r="E63" s="173" t="s">
        <v>190</v>
      </c>
      <c r="F63" s="173" t="s">
        <v>2</v>
      </c>
      <c r="G63" s="173">
        <v>22</v>
      </c>
      <c r="H63" s="173" t="s">
        <v>3</v>
      </c>
      <c r="I63" s="372" t="s">
        <v>554</v>
      </c>
      <c r="J63" s="476"/>
      <c r="K63" s="476"/>
      <c r="L63" s="476"/>
      <c r="M63" s="173">
        <v>1</v>
      </c>
      <c r="N63" s="478">
        <v>1</v>
      </c>
      <c r="O63" s="173"/>
      <c r="P63" s="454"/>
      <c r="Q63" s="173"/>
      <c r="R63" s="477">
        <f t="shared" si="0"/>
        <v>1</v>
      </c>
      <c r="S63" s="475"/>
      <c r="T63" s="477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41.4">
      <c r="A64" s="481">
        <v>23</v>
      </c>
      <c r="B64" s="173" t="s">
        <v>159</v>
      </c>
      <c r="C64" s="473" t="str">
        <f t="shared" si="1"/>
        <v>366</v>
      </c>
      <c r="D64" s="474">
        <v>366</v>
      </c>
      <c r="E64" s="173" t="s">
        <v>191</v>
      </c>
      <c r="F64" s="173" t="s">
        <v>2</v>
      </c>
      <c r="G64" s="173">
        <v>16</v>
      </c>
      <c r="H64" s="173" t="s">
        <v>3</v>
      </c>
      <c r="I64" s="372" t="s">
        <v>555</v>
      </c>
      <c r="J64" s="476"/>
      <c r="K64" s="476"/>
      <c r="L64" s="476"/>
      <c r="M64" s="173">
        <v>1</v>
      </c>
      <c r="N64" s="478">
        <v>1</v>
      </c>
      <c r="O64" s="173"/>
      <c r="P64" s="454"/>
      <c r="Q64" s="173"/>
      <c r="R64" s="477">
        <f t="shared" si="0"/>
        <v>1</v>
      </c>
      <c r="S64" s="475"/>
      <c r="T64" s="477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4.4">
      <c r="A65" s="481">
        <v>24</v>
      </c>
      <c r="B65" s="173" t="s">
        <v>159</v>
      </c>
      <c r="C65" s="473" t="str">
        <f t="shared" si="1"/>
        <v>366</v>
      </c>
      <c r="D65" s="474">
        <v>366</v>
      </c>
      <c r="E65" s="173" t="s">
        <v>192</v>
      </c>
      <c r="F65" s="173" t="s">
        <v>2</v>
      </c>
      <c r="G65" s="173">
        <v>19</v>
      </c>
      <c r="H65" s="173" t="s">
        <v>5</v>
      </c>
      <c r="I65" s="372"/>
      <c r="J65" s="476"/>
      <c r="K65" s="476"/>
      <c r="L65" s="476"/>
      <c r="M65" s="173">
        <v>0</v>
      </c>
      <c r="N65" s="478">
        <v>0</v>
      </c>
      <c r="O65" s="173"/>
      <c r="P65" s="454"/>
      <c r="Q65" s="173"/>
      <c r="R65" s="477">
        <f t="shared" si="0"/>
        <v>0</v>
      </c>
      <c r="S65" s="475"/>
      <c r="T65" s="477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4.4">
      <c r="A66" s="481">
        <v>25</v>
      </c>
      <c r="B66" s="173" t="s">
        <v>160</v>
      </c>
      <c r="C66" s="473" t="str">
        <f t="shared" si="1"/>
        <v>366</v>
      </c>
      <c r="D66" s="474">
        <v>366</v>
      </c>
      <c r="E66" s="173" t="s">
        <v>193</v>
      </c>
      <c r="F66" s="173" t="s">
        <v>2</v>
      </c>
      <c r="G66" s="173">
        <v>21</v>
      </c>
      <c r="H66" s="173" t="s">
        <v>3</v>
      </c>
      <c r="I66" s="372" t="s">
        <v>556</v>
      </c>
      <c r="J66" s="476"/>
      <c r="K66" s="476"/>
      <c r="L66" s="476"/>
      <c r="M66" s="173">
        <v>1</v>
      </c>
      <c r="N66" s="478">
        <v>1</v>
      </c>
      <c r="O66" s="173">
        <v>1</v>
      </c>
      <c r="P66" s="454"/>
      <c r="Q66" s="173">
        <v>1</v>
      </c>
      <c r="R66" s="477">
        <f t="shared" si="0"/>
        <v>1</v>
      </c>
      <c r="S66" s="475"/>
      <c r="T66" s="477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4.4">
      <c r="A67" s="481">
        <v>26</v>
      </c>
      <c r="B67" s="484" t="s">
        <v>160</v>
      </c>
      <c r="C67" s="473" t="str">
        <f t="shared" si="1"/>
        <v>366</v>
      </c>
      <c r="D67" s="474">
        <v>366</v>
      </c>
      <c r="E67" s="484" t="s">
        <v>194</v>
      </c>
      <c r="F67" s="484" t="s">
        <v>2</v>
      </c>
      <c r="G67" s="484">
        <v>21</v>
      </c>
      <c r="H67" s="484" t="s">
        <v>3</v>
      </c>
      <c r="I67" s="485" t="s">
        <v>557</v>
      </c>
      <c r="J67" s="476"/>
      <c r="K67" s="476"/>
      <c r="L67" s="476"/>
      <c r="M67" s="484">
        <v>1</v>
      </c>
      <c r="N67" s="478">
        <v>0</v>
      </c>
      <c r="O67" s="484"/>
      <c r="P67" s="487">
        <v>1</v>
      </c>
      <c r="Q67" s="484">
        <v>1</v>
      </c>
      <c r="R67" s="477">
        <f t="shared" si="0"/>
        <v>1</v>
      </c>
      <c r="S67" s="475"/>
      <c r="T67" s="477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4.4">
      <c r="A68" s="481">
        <v>27</v>
      </c>
      <c r="B68" s="173" t="s">
        <v>158</v>
      </c>
      <c r="C68" s="473" t="str">
        <f t="shared" si="1"/>
        <v>366</v>
      </c>
      <c r="D68" s="474">
        <v>366</v>
      </c>
      <c r="E68" s="173" t="s">
        <v>195</v>
      </c>
      <c r="F68" s="173" t="s">
        <v>2</v>
      </c>
      <c r="G68" s="173">
        <v>28</v>
      </c>
      <c r="H68" s="173" t="s">
        <v>3</v>
      </c>
      <c r="I68" s="372" t="s">
        <v>558</v>
      </c>
      <c r="J68" s="476"/>
      <c r="K68" s="476"/>
      <c r="L68" s="476"/>
      <c r="M68" s="173">
        <v>1</v>
      </c>
      <c r="N68" s="478">
        <v>0</v>
      </c>
      <c r="O68" s="173">
        <v>1</v>
      </c>
      <c r="P68" s="454"/>
      <c r="Q68" s="173"/>
      <c r="R68" s="477">
        <f t="shared" si="0"/>
        <v>1</v>
      </c>
      <c r="S68" s="475"/>
      <c r="T68" s="477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4.4">
      <c r="A69" s="481">
        <v>28</v>
      </c>
      <c r="B69" s="173" t="s">
        <v>158</v>
      </c>
      <c r="C69" s="473" t="str">
        <f t="shared" si="1"/>
        <v>366</v>
      </c>
      <c r="D69" s="474">
        <v>366</v>
      </c>
      <c r="E69" s="173" t="s">
        <v>196</v>
      </c>
      <c r="F69" s="173" t="s">
        <v>2</v>
      </c>
      <c r="G69" s="173">
        <v>20</v>
      </c>
      <c r="H69" s="173" t="s">
        <v>5</v>
      </c>
      <c r="I69" s="372"/>
      <c r="J69" s="476"/>
      <c r="K69" s="476"/>
      <c r="L69" s="476"/>
      <c r="M69" s="173">
        <v>0</v>
      </c>
      <c r="N69" s="478">
        <v>0</v>
      </c>
      <c r="O69" s="173">
        <v>1</v>
      </c>
      <c r="P69" s="454"/>
      <c r="Q69" s="173"/>
      <c r="R69" s="477">
        <f t="shared" si="0"/>
        <v>1</v>
      </c>
      <c r="S69" s="475"/>
      <c r="T69" s="477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4.4">
      <c r="A70" s="481">
        <v>29</v>
      </c>
      <c r="B70" s="173" t="s">
        <v>160</v>
      </c>
      <c r="C70" s="473" t="str">
        <f t="shared" si="1"/>
        <v>366</v>
      </c>
      <c r="D70" s="474">
        <v>366</v>
      </c>
      <c r="E70" s="173" t="s">
        <v>197</v>
      </c>
      <c r="F70" s="173" t="s">
        <v>2</v>
      </c>
      <c r="G70" s="173">
        <v>20</v>
      </c>
      <c r="H70" s="173" t="s">
        <v>3</v>
      </c>
      <c r="I70" s="372" t="s">
        <v>559</v>
      </c>
      <c r="J70" s="476"/>
      <c r="K70" s="476"/>
      <c r="L70" s="476"/>
      <c r="M70" s="173">
        <v>1</v>
      </c>
      <c r="N70" s="478">
        <v>0</v>
      </c>
      <c r="O70" s="173">
        <v>1</v>
      </c>
      <c r="P70" s="454"/>
      <c r="Q70" s="173">
        <v>1</v>
      </c>
      <c r="R70" s="477">
        <f t="shared" si="0"/>
        <v>1</v>
      </c>
      <c r="S70" s="475"/>
      <c r="T70" s="477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4.4">
      <c r="A71" s="481">
        <v>30</v>
      </c>
      <c r="B71" s="173" t="s">
        <v>160</v>
      </c>
      <c r="C71" s="473" t="str">
        <f t="shared" si="1"/>
        <v>366</v>
      </c>
      <c r="D71" s="474">
        <v>366</v>
      </c>
      <c r="E71" s="173" t="s">
        <v>198</v>
      </c>
      <c r="F71" s="173" t="s">
        <v>2</v>
      </c>
      <c r="G71" s="173">
        <v>17</v>
      </c>
      <c r="H71" s="173" t="s">
        <v>3</v>
      </c>
      <c r="I71" s="372" t="s">
        <v>153</v>
      </c>
      <c r="J71" s="476"/>
      <c r="K71" s="476"/>
      <c r="L71" s="476"/>
      <c r="M71" s="173">
        <v>1</v>
      </c>
      <c r="N71" s="478">
        <v>0</v>
      </c>
      <c r="O71" s="173"/>
      <c r="P71" s="454"/>
      <c r="Q71" s="173"/>
      <c r="R71" s="477">
        <f t="shared" si="0"/>
        <v>1</v>
      </c>
      <c r="S71" s="475"/>
      <c r="T71" s="477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4.4">
      <c r="A72" s="481">
        <v>31</v>
      </c>
      <c r="B72" s="173" t="s">
        <v>160</v>
      </c>
      <c r="C72" s="473" t="str">
        <f t="shared" si="1"/>
        <v>366</v>
      </c>
      <c r="D72" s="474">
        <v>366</v>
      </c>
      <c r="E72" s="173" t="s">
        <v>199</v>
      </c>
      <c r="F72" s="173" t="s">
        <v>2</v>
      </c>
      <c r="G72" s="173">
        <v>19</v>
      </c>
      <c r="H72" s="173" t="s">
        <v>3</v>
      </c>
      <c r="I72" s="372" t="s">
        <v>560</v>
      </c>
      <c r="J72" s="476"/>
      <c r="K72" s="476"/>
      <c r="L72" s="476"/>
      <c r="M72" s="173">
        <v>1</v>
      </c>
      <c r="N72" s="478">
        <v>1</v>
      </c>
      <c r="O72" s="173">
        <v>1</v>
      </c>
      <c r="P72" s="454"/>
      <c r="Q72" s="173"/>
      <c r="R72" s="477">
        <f t="shared" si="0"/>
        <v>1</v>
      </c>
      <c r="S72" s="475"/>
      <c r="T72" s="477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27.6">
      <c r="A73" s="481">
        <v>32</v>
      </c>
      <c r="B73" s="173" t="s">
        <v>160</v>
      </c>
      <c r="C73" s="473" t="str">
        <f t="shared" si="1"/>
        <v>366</v>
      </c>
      <c r="D73" s="474">
        <v>366</v>
      </c>
      <c r="E73" s="173" t="s">
        <v>200</v>
      </c>
      <c r="F73" s="173" t="s">
        <v>2</v>
      </c>
      <c r="G73" s="173">
        <v>19</v>
      </c>
      <c r="H73" s="173" t="s">
        <v>3</v>
      </c>
      <c r="I73" s="372" t="s">
        <v>561</v>
      </c>
      <c r="J73" s="476"/>
      <c r="K73" s="476"/>
      <c r="L73" s="476"/>
      <c r="M73" s="173">
        <v>1</v>
      </c>
      <c r="N73" s="478">
        <v>1</v>
      </c>
      <c r="O73" s="173">
        <v>1</v>
      </c>
      <c r="P73" s="454"/>
      <c r="Q73" s="173"/>
      <c r="R73" s="477">
        <f t="shared" si="0"/>
        <v>1</v>
      </c>
      <c r="S73" s="475"/>
      <c r="T73" s="477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4.4">
      <c r="A74" s="481">
        <v>33</v>
      </c>
      <c r="B74" s="173" t="s">
        <v>160</v>
      </c>
      <c r="C74" s="473" t="str">
        <f t="shared" si="1"/>
        <v>366</v>
      </c>
      <c r="D74" s="474">
        <v>366</v>
      </c>
      <c r="E74" s="173" t="s">
        <v>201</v>
      </c>
      <c r="F74" s="173" t="s">
        <v>2</v>
      </c>
      <c r="G74" s="173">
        <v>19</v>
      </c>
      <c r="H74" s="173" t="s">
        <v>3</v>
      </c>
      <c r="I74" s="372" t="s">
        <v>562</v>
      </c>
      <c r="J74" s="476"/>
      <c r="K74" s="476"/>
      <c r="L74" s="476"/>
      <c r="M74" s="173">
        <v>1</v>
      </c>
      <c r="N74" s="478">
        <v>0</v>
      </c>
      <c r="O74" s="173"/>
      <c r="P74" s="454"/>
      <c r="Q74" s="173"/>
      <c r="R74" s="477">
        <f t="shared" si="0"/>
        <v>1</v>
      </c>
      <c r="S74" s="475"/>
      <c r="T74" s="477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27.6">
      <c r="A75" s="481">
        <v>34</v>
      </c>
      <c r="B75" s="173" t="s">
        <v>160</v>
      </c>
      <c r="C75" s="473" t="str">
        <f t="shared" si="1"/>
        <v>366</v>
      </c>
      <c r="D75" s="474">
        <v>366</v>
      </c>
      <c r="E75" s="173" t="s">
        <v>202</v>
      </c>
      <c r="F75" s="173" t="s">
        <v>2</v>
      </c>
      <c r="G75" s="173">
        <v>19</v>
      </c>
      <c r="H75" s="173" t="s">
        <v>3</v>
      </c>
      <c r="I75" s="372" t="s">
        <v>563</v>
      </c>
      <c r="J75" s="476"/>
      <c r="K75" s="476"/>
      <c r="L75" s="476"/>
      <c r="M75" s="173">
        <v>1</v>
      </c>
      <c r="N75" s="478">
        <v>1</v>
      </c>
      <c r="O75" s="173"/>
      <c r="P75" s="454"/>
      <c r="Q75" s="173"/>
      <c r="R75" s="477">
        <f t="shared" si="0"/>
        <v>1</v>
      </c>
      <c r="S75" s="475"/>
      <c r="T75" s="477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4.4">
      <c r="A76" s="481">
        <v>35</v>
      </c>
      <c r="B76" s="173" t="s">
        <v>160</v>
      </c>
      <c r="C76" s="473" t="str">
        <f t="shared" si="1"/>
        <v>366</v>
      </c>
      <c r="D76" s="474">
        <v>366</v>
      </c>
      <c r="E76" s="173" t="s">
        <v>203</v>
      </c>
      <c r="F76" s="173" t="s">
        <v>2</v>
      </c>
      <c r="G76" s="173">
        <v>20</v>
      </c>
      <c r="H76" s="173" t="s">
        <v>5</v>
      </c>
      <c r="I76" s="372"/>
      <c r="J76" s="476"/>
      <c r="K76" s="476"/>
      <c r="L76" s="476"/>
      <c r="M76" s="173">
        <v>0</v>
      </c>
      <c r="N76" s="478">
        <v>1</v>
      </c>
      <c r="O76" s="173"/>
      <c r="P76" s="454"/>
      <c r="Q76" s="173"/>
      <c r="R76" s="477">
        <f t="shared" si="0"/>
        <v>1</v>
      </c>
      <c r="S76" s="475"/>
      <c r="T76" s="477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4.4">
      <c r="A77" s="481">
        <v>36</v>
      </c>
      <c r="B77" s="173" t="s">
        <v>160</v>
      </c>
      <c r="C77" s="473" t="str">
        <f t="shared" si="1"/>
        <v>366</v>
      </c>
      <c r="D77" s="474">
        <v>366</v>
      </c>
      <c r="E77" s="173" t="s">
        <v>204</v>
      </c>
      <c r="F77" s="173" t="s">
        <v>2</v>
      </c>
      <c r="G77" s="173">
        <v>19</v>
      </c>
      <c r="H77" s="173" t="s">
        <v>3</v>
      </c>
      <c r="I77" s="372" t="s">
        <v>153</v>
      </c>
      <c r="J77" s="476"/>
      <c r="K77" s="476"/>
      <c r="L77" s="476"/>
      <c r="M77" s="173">
        <v>1</v>
      </c>
      <c r="N77" s="478">
        <v>1</v>
      </c>
      <c r="O77" s="173"/>
      <c r="P77" s="454"/>
      <c r="Q77" s="173">
        <v>1</v>
      </c>
      <c r="R77" s="477">
        <f t="shared" si="0"/>
        <v>1</v>
      </c>
      <c r="S77" s="475"/>
      <c r="T77" s="477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55.2">
      <c r="A78" s="481">
        <v>37</v>
      </c>
      <c r="B78" s="484" t="s">
        <v>159</v>
      </c>
      <c r="C78" s="473" t="str">
        <f t="shared" si="1"/>
        <v>366</v>
      </c>
      <c r="D78" s="474">
        <v>366</v>
      </c>
      <c r="E78" s="484" t="s">
        <v>205</v>
      </c>
      <c r="F78" s="484" t="s">
        <v>2</v>
      </c>
      <c r="G78" s="484">
        <v>18</v>
      </c>
      <c r="H78" s="484" t="s">
        <v>3</v>
      </c>
      <c r="I78" s="485" t="s">
        <v>564</v>
      </c>
      <c r="J78" s="476"/>
      <c r="K78" s="476"/>
      <c r="L78" s="476"/>
      <c r="M78" s="484">
        <v>1</v>
      </c>
      <c r="N78" s="478">
        <v>0</v>
      </c>
      <c r="O78" s="484"/>
      <c r="P78" s="487">
        <v>1</v>
      </c>
      <c r="Q78" s="484"/>
      <c r="R78" s="477">
        <f t="shared" si="0"/>
        <v>1</v>
      </c>
      <c r="S78" s="475"/>
      <c r="T78" s="477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41.4">
      <c r="A79" s="481">
        <v>38</v>
      </c>
      <c r="B79" s="173" t="s">
        <v>159</v>
      </c>
      <c r="C79" s="473" t="str">
        <f t="shared" si="1"/>
        <v>366</v>
      </c>
      <c r="D79" s="474">
        <v>366</v>
      </c>
      <c r="E79" s="173" t="s">
        <v>206</v>
      </c>
      <c r="F79" s="173" t="s">
        <v>2</v>
      </c>
      <c r="G79" s="173">
        <v>19</v>
      </c>
      <c r="H79" s="173" t="s">
        <v>3</v>
      </c>
      <c r="I79" s="372" t="s">
        <v>565</v>
      </c>
      <c r="J79" s="476"/>
      <c r="K79" s="476"/>
      <c r="L79" s="476"/>
      <c r="M79" s="173">
        <v>1</v>
      </c>
      <c r="N79" s="478">
        <v>1</v>
      </c>
      <c r="O79" s="173"/>
      <c r="P79" s="454"/>
      <c r="Q79" s="173"/>
      <c r="R79" s="477">
        <f t="shared" si="0"/>
        <v>1</v>
      </c>
      <c r="S79" s="475"/>
      <c r="T79" s="477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41.4">
      <c r="A80" s="481">
        <v>39</v>
      </c>
      <c r="B80" s="173" t="s">
        <v>159</v>
      </c>
      <c r="C80" s="473" t="str">
        <f t="shared" si="1"/>
        <v>366</v>
      </c>
      <c r="D80" s="474">
        <v>366</v>
      </c>
      <c r="E80" s="173" t="s">
        <v>207</v>
      </c>
      <c r="F80" s="173" t="s">
        <v>2</v>
      </c>
      <c r="G80" s="173">
        <v>19</v>
      </c>
      <c r="H80" s="173" t="s">
        <v>3</v>
      </c>
      <c r="I80" s="372" t="s">
        <v>566</v>
      </c>
      <c r="J80" s="476"/>
      <c r="K80" s="476"/>
      <c r="L80" s="476"/>
      <c r="M80" s="173">
        <v>1</v>
      </c>
      <c r="N80" s="478">
        <v>1</v>
      </c>
      <c r="O80" s="173"/>
      <c r="P80" s="454"/>
      <c r="Q80" s="173"/>
      <c r="R80" s="477">
        <f t="shared" si="0"/>
        <v>1</v>
      </c>
      <c r="S80" s="475"/>
      <c r="T80" s="477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27.6">
      <c r="A81" s="481">
        <v>40</v>
      </c>
      <c r="B81" s="173" t="s">
        <v>159</v>
      </c>
      <c r="C81" s="473" t="str">
        <f t="shared" si="1"/>
        <v>366</v>
      </c>
      <c r="D81" s="474">
        <v>366</v>
      </c>
      <c r="E81" s="173" t="s">
        <v>208</v>
      </c>
      <c r="F81" s="173" t="s">
        <v>2</v>
      </c>
      <c r="G81" s="173">
        <v>17</v>
      </c>
      <c r="H81" s="173" t="s">
        <v>3</v>
      </c>
      <c r="I81" s="372" t="s">
        <v>567</v>
      </c>
      <c r="J81" s="476"/>
      <c r="K81" s="476"/>
      <c r="L81" s="476"/>
      <c r="M81" s="173">
        <v>1</v>
      </c>
      <c r="N81" s="478">
        <v>1</v>
      </c>
      <c r="O81" s="173"/>
      <c r="P81" s="454"/>
      <c r="Q81" s="173"/>
      <c r="R81" s="477">
        <f t="shared" si="0"/>
        <v>1</v>
      </c>
      <c r="S81" s="475"/>
      <c r="T81" s="477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27.6">
      <c r="A82" s="481">
        <v>41</v>
      </c>
      <c r="B82" s="173" t="s">
        <v>159</v>
      </c>
      <c r="C82" s="473" t="str">
        <f t="shared" si="1"/>
        <v>366</v>
      </c>
      <c r="D82" s="474">
        <v>366</v>
      </c>
      <c r="E82" s="173" t="s">
        <v>209</v>
      </c>
      <c r="F82" s="173" t="s">
        <v>2</v>
      </c>
      <c r="G82" s="173">
        <v>19</v>
      </c>
      <c r="H82" s="173" t="s">
        <v>3</v>
      </c>
      <c r="I82" s="372" t="s">
        <v>568</v>
      </c>
      <c r="J82" s="476"/>
      <c r="K82" s="476"/>
      <c r="L82" s="476"/>
      <c r="M82" s="173">
        <v>1</v>
      </c>
      <c r="N82" s="478">
        <v>1</v>
      </c>
      <c r="O82" s="173"/>
      <c r="P82" s="454"/>
      <c r="Q82" s="173"/>
      <c r="R82" s="477">
        <f t="shared" si="0"/>
        <v>1</v>
      </c>
      <c r="S82" s="475"/>
      <c r="T82" s="477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27.6">
      <c r="A83" s="481">
        <v>42</v>
      </c>
      <c r="B83" s="173" t="s">
        <v>159</v>
      </c>
      <c r="C83" s="473" t="str">
        <f t="shared" si="1"/>
        <v>366</v>
      </c>
      <c r="D83" s="474">
        <v>366</v>
      </c>
      <c r="E83" s="173" t="s">
        <v>210</v>
      </c>
      <c r="F83" s="173" t="s">
        <v>2</v>
      </c>
      <c r="G83" s="173">
        <v>21</v>
      </c>
      <c r="H83" s="173" t="s">
        <v>3</v>
      </c>
      <c r="I83" s="372" t="s">
        <v>569</v>
      </c>
      <c r="J83" s="476"/>
      <c r="K83" s="476"/>
      <c r="L83" s="476"/>
      <c r="M83" s="173">
        <v>1</v>
      </c>
      <c r="N83" s="478">
        <v>1</v>
      </c>
      <c r="O83" s="173"/>
      <c r="P83" s="454"/>
      <c r="Q83" s="173"/>
      <c r="R83" s="477">
        <f t="shared" si="0"/>
        <v>1</v>
      </c>
      <c r="S83" s="475"/>
      <c r="T83" s="477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41.4">
      <c r="A84" s="481">
        <v>43</v>
      </c>
      <c r="B84" s="173" t="s">
        <v>159</v>
      </c>
      <c r="C84" s="473" t="str">
        <f t="shared" si="1"/>
        <v>366</v>
      </c>
      <c r="D84" s="474">
        <v>366</v>
      </c>
      <c r="E84" s="173" t="s">
        <v>211</v>
      </c>
      <c r="F84" s="173" t="s">
        <v>2</v>
      </c>
      <c r="G84" s="173">
        <v>19</v>
      </c>
      <c r="H84" s="173" t="s">
        <v>3</v>
      </c>
      <c r="I84" s="372" t="s">
        <v>570</v>
      </c>
      <c r="J84" s="476"/>
      <c r="K84" s="476"/>
      <c r="L84" s="476"/>
      <c r="M84" s="173">
        <v>1</v>
      </c>
      <c r="N84" s="478">
        <v>1</v>
      </c>
      <c r="O84" s="173"/>
      <c r="P84" s="454"/>
      <c r="Q84" s="173"/>
      <c r="R84" s="477">
        <f t="shared" si="0"/>
        <v>1</v>
      </c>
      <c r="S84" s="475"/>
      <c r="T84" s="477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4.4">
      <c r="A85" s="481">
        <v>44</v>
      </c>
      <c r="B85" s="173" t="s">
        <v>161</v>
      </c>
      <c r="C85" s="473" t="str">
        <f t="shared" si="1"/>
        <v>366</v>
      </c>
      <c r="D85" s="474">
        <v>366</v>
      </c>
      <c r="E85" s="173" t="s">
        <v>212</v>
      </c>
      <c r="F85" s="173" t="s">
        <v>2</v>
      </c>
      <c r="G85" s="173">
        <v>20</v>
      </c>
      <c r="H85" s="173" t="s">
        <v>3</v>
      </c>
      <c r="I85" s="372" t="s">
        <v>571</v>
      </c>
      <c r="J85" s="476"/>
      <c r="K85" s="476"/>
      <c r="L85" s="476"/>
      <c r="M85" s="173">
        <v>1</v>
      </c>
      <c r="N85" s="478">
        <v>1</v>
      </c>
      <c r="O85" s="173"/>
      <c r="P85" s="454"/>
      <c r="Q85" s="173"/>
      <c r="R85" s="477">
        <f t="shared" si="0"/>
        <v>1</v>
      </c>
      <c r="S85" s="475"/>
      <c r="T85" s="477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4.4">
      <c r="A86" s="481">
        <v>45</v>
      </c>
      <c r="B86" s="173" t="s">
        <v>161</v>
      </c>
      <c r="C86" s="473" t="str">
        <f t="shared" si="1"/>
        <v>366</v>
      </c>
      <c r="D86" s="474">
        <v>366</v>
      </c>
      <c r="E86" s="173" t="s">
        <v>213</v>
      </c>
      <c r="F86" s="173" t="s">
        <v>2</v>
      </c>
      <c r="G86" s="173">
        <v>25</v>
      </c>
      <c r="H86" s="173" t="s">
        <v>3</v>
      </c>
      <c r="I86" s="372" t="s">
        <v>572</v>
      </c>
      <c r="J86" s="476"/>
      <c r="K86" s="476"/>
      <c r="L86" s="476"/>
      <c r="M86" s="173">
        <v>1</v>
      </c>
      <c r="N86" s="478">
        <v>0</v>
      </c>
      <c r="O86" s="173"/>
      <c r="P86" s="454"/>
      <c r="Q86" s="173">
        <v>1</v>
      </c>
      <c r="R86" s="477">
        <f t="shared" si="0"/>
        <v>1</v>
      </c>
      <c r="S86" s="475"/>
      <c r="T86" s="477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4.4">
      <c r="A87" s="481">
        <v>46</v>
      </c>
      <c r="B87" s="173" t="s">
        <v>161</v>
      </c>
      <c r="C87" s="473" t="str">
        <f t="shared" si="1"/>
        <v>366</v>
      </c>
      <c r="D87" s="474">
        <v>366</v>
      </c>
      <c r="E87" s="173" t="s">
        <v>214</v>
      </c>
      <c r="F87" s="173" t="s">
        <v>2</v>
      </c>
      <c r="G87" s="173">
        <v>24</v>
      </c>
      <c r="H87" s="173" t="s">
        <v>3</v>
      </c>
      <c r="I87" s="372" t="s">
        <v>573</v>
      </c>
      <c r="J87" s="476"/>
      <c r="K87" s="476"/>
      <c r="L87" s="476"/>
      <c r="M87" s="173">
        <v>1</v>
      </c>
      <c r="N87" s="478">
        <v>1</v>
      </c>
      <c r="O87" s="173"/>
      <c r="P87" s="454"/>
      <c r="Q87" s="173">
        <v>1</v>
      </c>
      <c r="R87" s="477">
        <f t="shared" si="0"/>
        <v>1</v>
      </c>
      <c r="S87" s="475"/>
      <c r="T87" s="477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4.4">
      <c r="A88" s="481">
        <v>47</v>
      </c>
      <c r="B88" s="173" t="s">
        <v>161</v>
      </c>
      <c r="C88" s="473" t="str">
        <f t="shared" si="1"/>
        <v>366</v>
      </c>
      <c r="D88" s="474">
        <v>366</v>
      </c>
      <c r="E88" s="173" t="s">
        <v>215</v>
      </c>
      <c r="F88" s="173" t="s">
        <v>2</v>
      </c>
      <c r="G88" s="173">
        <v>22</v>
      </c>
      <c r="H88" s="173" t="s">
        <v>3</v>
      </c>
      <c r="I88" s="372" t="s">
        <v>574</v>
      </c>
      <c r="J88" s="476"/>
      <c r="K88" s="476"/>
      <c r="L88" s="476"/>
      <c r="M88" s="173">
        <v>1</v>
      </c>
      <c r="N88" s="478">
        <v>1</v>
      </c>
      <c r="O88" s="173"/>
      <c r="P88" s="454"/>
      <c r="Q88" s="173">
        <v>1</v>
      </c>
      <c r="R88" s="477">
        <f t="shared" si="0"/>
        <v>1</v>
      </c>
      <c r="S88" s="475"/>
      <c r="T88" s="477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4.4">
      <c r="A89" s="481">
        <v>48</v>
      </c>
      <c r="B89" s="173" t="s">
        <v>161</v>
      </c>
      <c r="C89" s="473" t="str">
        <f t="shared" si="1"/>
        <v>366</v>
      </c>
      <c r="D89" s="474">
        <v>366</v>
      </c>
      <c r="E89" s="173" t="s">
        <v>216</v>
      </c>
      <c r="F89" s="173" t="s">
        <v>2</v>
      </c>
      <c r="G89" s="173">
        <v>22</v>
      </c>
      <c r="H89" s="173" t="s">
        <v>3</v>
      </c>
      <c r="I89" s="372" t="s">
        <v>575</v>
      </c>
      <c r="J89" s="476"/>
      <c r="K89" s="476"/>
      <c r="L89" s="476"/>
      <c r="M89" s="173">
        <v>1</v>
      </c>
      <c r="N89" s="478">
        <v>1</v>
      </c>
      <c r="O89" s="173">
        <v>1</v>
      </c>
      <c r="P89" s="454"/>
      <c r="Q89" s="173">
        <v>1</v>
      </c>
      <c r="R89" s="477">
        <f t="shared" si="0"/>
        <v>1</v>
      </c>
      <c r="S89" s="475"/>
      <c r="T89" s="477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4.4">
      <c r="A90" s="481">
        <v>49</v>
      </c>
      <c r="B90" s="173" t="s">
        <v>161</v>
      </c>
      <c r="C90" s="473" t="str">
        <f t="shared" si="1"/>
        <v>366</v>
      </c>
      <c r="D90" s="474">
        <v>366</v>
      </c>
      <c r="E90" s="173" t="s">
        <v>217</v>
      </c>
      <c r="F90" s="173" t="s">
        <v>2</v>
      </c>
      <c r="G90" s="173">
        <v>23</v>
      </c>
      <c r="H90" s="173" t="s">
        <v>3</v>
      </c>
      <c r="I90" s="372" t="s">
        <v>576</v>
      </c>
      <c r="J90" s="476"/>
      <c r="K90" s="476"/>
      <c r="L90" s="476"/>
      <c r="M90" s="173">
        <v>1</v>
      </c>
      <c r="N90" s="478">
        <v>1</v>
      </c>
      <c r="O90" s="173">
        <v>1</v>
      </c>
      <c r="P90" s="454"/>
      <c r="Q90" s="173">
        <v>1</v>
      </c>
      <c r="R90" s="477">
        <f t="shared" si="0"/>
        <v>1</v>
      </c>
      <c r="S90" s="475"/>
      <c r="T90" s="477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4.4">
      <c r="A91" s="481">
        <v>50</v>
      </c>
      <c r="B91" s="173" t="s">
        <v>161</v>
      </c>
      <c r="C91" s="473" t="str">
        <f t="shared" si="1"/>
        <v>366</v>
      </c>
      <c r="D91" s="474">
        <v>366</v>
      </c>
      <c r="E91" s="173" t="s">
        <v>218</v>
      </c>
      <c r="F91" s="173" t="s">
        <v>2</v>
      </c>
      <c r="G91" s="173">
        <v>19</v>
      </c>
      <c r="H91" s="173" t="s">
        <v>3</v>
      </c>
      <c r="I91" s="372" t="s">
        <v>577</v>
      </c>
      <c r="J91" s="476"/>
      <c r="K91" s="476"/>
      <c r="L91" s="476"/>
      <c r="M91" s="173">
        <v>1</v>
      </c>
      <c r="N91" s="478">
        <v>1</v>
      </c>
      <c r="O91" s="173">
        <v>1</v>
      </c>
      <c r="P91" s="454"/>
      <c r="Q91" s="173"/>
      <c r="R91" s="477">
        <f t="shared" si="0"/>
        <v>1</v>
      </c>
      <c r="S91" s="475"/>
      <c r="T91" s="477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4.4">
      <c r="A92" s="481">
        <v>51</v>
      </c>
      <c r="B92" s="173" t="s">
        <v>162</v>
      </c>
      <c r="C92" s="473" t="str">
        <f t="shared" si="1"/>
        <v>366</v>
      </c>
      <c r="D92" s="474">
        <v>366</v>
      </c>
      <c r="E92" s="173" t="s">
        <v>219</v>
      </c>
      <c r="F92" s="173" t="s">
        <v>2</v>
      </c>
      <c r="G92" s="173">
        <v>22</v>
      </c>
      <c r="H92" s="173" t="s">
        <v>3</v>
      </c>
      <c r="I92" s="372" t="s">
        <v>578</v>
      </c>
      <c r="J92" s="476"/>
      <c r="K92" s="476"/>
      <c r="L92" s="476"/>
      <c r="M92" s="173">
        <v>1</v>
      </c>
      <c r="N92" s="478">
        <v>1</v>
      </c>
      <c r="O92" s="173"/>
      <c r="P92" s="454"/>
      <c r="Q92" s="173">
        <v>1</v>
      </c>
      <c r="R92" s="477">
        <f t="shared" si="0"/>
        <v>1</v>
      </c>
      <c r="S92" s="475"/>
      <c r="T92" s="477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4.4">
      <c r="A93" s="481">
        <v>52</v>
      </c>
      <c r="B93" s="173" t="s">
        <v>162</v>
      </c>
      <c r="C93" s="473" t="str">
        <f t="shared" si="1"/>
        <v>366</v>
      </c>
      <c r="D93" s="474">
        <v>366</v>
      </c>
      <c r="E93" s="173" t="s">
        <v>152</v>
      </c>
      <c r="F93" s="173" t="s">
        <v>2</v>
      </c>
      <c r="G93" s="173">
        <v>22</v>
      </c>
      <c r="H93" s="173" t="s">
        <v>3</v>
      </c>
      <c r="I93" s="372" t="s">
        <v>579</v>
      </c>
      <c r="J93" s="476"/>
      <c r="K93" s="476"/>
      <c r="L93" s="476"/>
      <c r="M93" s="173">
        <v>1</v>
      </c>
      <c r="N93" s="478">
        <v>0</v>
      </c>
      <c r="O93" s="173">
        <v>0</v>
      </c>
      <c r="P93" s="454"/>
      <c r="Q93" s="173"/>
      <c r="R93" s="477">
        <f t="shared" si="0"/>
        <v>1</v>
      </c>
      <c r="S93" s="475"/>
      <c r="T93" s="477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4.4">
      <c r="A94" s="481">
        <v>53</v>
      </c>
      <c r="B94" s="173" t="s">
        <v>161</v>
      </c>
      <c r="C94" s="473" t="str">
        <f t="shared" si="1"/>
        <v>366</v>
      </c>
      <c r="D94" s="474">
        <v>366</v>
      </c>
      <c r="E94" s="173" t="s">
        <v>220</v>
      </c>
      <c r="F94" s="173" t="s">
        <v>2</v>
      </c>
      <c r="G94" s="173">
        <v>23</v>
      </c>
      <c r="H94" s="173" t="s">
        <v>3</v>
      </c>
      <c r="I94" s="372" t="s">
        <v>580</v>
      </c>
      <c r="J94" s="476"/>
      <c r="K94" s="476"/>
      <c r="L94" s="476"/>
      <c r="M94" s="173">
        <v>1</v>
      </c>
      <c r="N94" s="478">
        <v>1</v>
      </c>
      <c r="O94" s="173"/>
      <c r="P94" s="454"/>
      <c r="Q94" s="173"/>
      <c r="R94" s="477">
        <f t="shared" si="0"/>
        <v>1</v>
      </c>
      <c r="S94" s="475"/>
      <c r="T94" s="477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4.4">
      <c r="A95" s="481">
        <v>54</v>
      </c>
      <c r="B95" s="173" t="s">
        <v>162</v>
      </c>
      <c r="C95" s="473" t="str">
        <f t="shared" si="1"/>
        <v>366</v>
      </c>
      <c r="D95" s="474">
        <v>366</v>
      </c>
      <c r="E95" s="173" t="s">
        <v>221</v>
      </c>
      <c r="F95" s="173" t="s">
        <v>2</v>
      </c>
      <c r="G95" s="173">
        <v>22</v>
      </c>
      <c r="H95" s="173" t="s">
        <v>3</v>
      </c>
      <c r="I95" s="372" t="s">
        <v>581</v>
      </c>
      <c r="J95" s="476"/>
      <c r="K95" s="476"/>
      <c r="L95" s="476"/>
      <c r="M95" s="173">
        <v>1</v>
      </c>
      <c r="N95" s="478">
        <v>1</v>
      </c>
      <c r="O95" s="173">
        <v>1</v>
      </c>
      <c r="P95" s="454"/>
      <c r="Q95" s="173"/>
      <c r="R95" s="477">
        <f t="shared" si="0"/>
        <v>1</v>
      </c>
      <c r="S95" s="475"/>
      <c r="T95" s="477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4.4">
      <c r="A96" s="481">
        <v>55</v>
      </c>
      <c r="B96" s="173" t="s">
        <v>162</v>
      </c>
      <c r="C96" s="473" t="str">
        <f t="shared" si="1"/>
        <v>366</v>
      </c>
      <c r="D96" s="474">
        <v>366</v>
      </c>
      <c r="E96" s="173" t="s">
        <v>222</v>
      </c>
      <c r="F96" s="173" t="s">
        <v>2</v>
      </c>
      <c r="G96" s="173">
        <v>20</v>
      </c>
      <c r="H96" s="173" t="s">
        <v>3</v>
      </c>
      <c r="I96" s="372" t="s">
        <v>582</v>
      </c>
      <c r="J96" s="476"/>
      <c r="K96" s="476"/>
      <c r="L96" s="476"/>
      <c r="M96" s="173">
        <v>1</v>
      </c>
      <c r="N96" s="478">
        <v>0</v>
      </c>
      <c r="O96" s="173">
        <v>1</v>
      </c>
      <c r="P96" s="454">
        <v>1</v>
      </c>
      <c r="Q96" s="173"/>
      <c r="R96" s="477">
        <f t="shared" si="0"/>
        <v>1</v>
      </c>
      <c r="S96" s="475"/>
      <c r="T96" s="477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4.4">
      <c r="A97" s="481">
        <v>56</v>
      </c>
      <c r="B97" s="173" t="s">
        <v>162</v>
      </c>
      <c r="C97" s="473" t="str">
        <f t="shared" si="1"/>
        <v>366</v>
      </c>
      <c r="D97" s="474">
        <v>366</v>
      </c>
      <c r="E97" s="173" t="s">
        <v>223</v>
      </c>
      <c r="F97" s="173" t="s">
        <v>2</v>
      </c>
      <c r="G97" s="173">
        <v>22</v>
      </c>
      <c r="H97" s="173" t="s">
        <v>3</v>
      </c>
      <c r="I97" s="372" t="s">
        <v>153</v>
      </c>
      <c r="J97" s="476"/>
      <c r="K97" s="476"/>
      <c r="L97" s="476"/>
      <c r="M97" s="173">
        <v>1</v>
      </c>
      <c r="N97" s="478">
        <v>1</v>
      </c>
      <c r="O97" s="173">
        <v>0</v>
      </c>
      <c r="P97" s="454"/>
      <c r="Q97" s="173"/>
      <c r="R97" s="477">
        <f t="shared" si="0"/>
        <v>1</v>
      </c>
      <c r="S97" s="475"/>
      <c r="T97" s="477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4.4">
      <c r="A98" s="481">
        <v>57</v>
      </c>
      <c r="B98" s="484" t="s">
        <v>162</v>
      </c>
      <c r="C98" s="473" t="str">
        <f t="shared" si="1"/>
        <v>366</v>
      </c>
      <c r="D98" s="474">
        <v>366</v>
      </c>
      <c r="E98" s="484" t="s">
        <v>224</v>
      </c>
      <c r="F98" s="484" t="s">
        <v>2</v>
      </c>
      <c r="G98" s="484">
        <v>19</v>
      </c>
      <c r="H98" s="484" t="s">
        <v>3</v>
      </c>
      <c r="I98" s="485" t="s">
        <v>583</v>
      </c>
      <c r="J98" s="476"/>
      <c r="K98" s="476"/>
      <c r="L98" s="476"/>
      <c r="M98" s="484">
        <v>1</v>
      </c>
      <c r="N98" s="478">
        <v>0</v>
      </c>
      <c r="O98" s="484"/>
      <c r="P98" s="487">
        <v>1</v>
      </c>
      <c r="Q98" s="484"/>
      <c r="R98" s="477">
        <f t="shared" si="0"/>
        <v>1</v>
      </c>
      <c r="S98" s="475"/>
      <c r="T98" s="477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4.4">
      <c r="A99" s="481">
        <v>58</v>
      </c>
      <c r="B99" s="173" t="s">
        <v>162</v>
      </c>
      <c r="C99" s="473" t="str">
        <f t="shared" si="1"/>
        <v>366</v>
      </c>
      <c r="D99" s="474">
        <v>366</v>
      </c>
      <c r="E99" s="173" t="s">
        <v>225</v>
      </c>
      <c r="F99" s="173" t="s">
        <v>2</v>
      </c>
      <c r="G99" s="173">
        <v>23</v>
      </c>
      <c r="H99" s="173" t="s">
        <v>3</v>
      </c>
      <c r="I99" s="372" t="s">
        <v>584</v>
      </c>
      <c r="J99" s="476"/>
      <c r="K99" s="476"/>
      <c r="L99" s="476"/>
      <c r="M99" s="173">
        <v>1</v>
      </c>
      <c r="N99" s="478">
        <v>1</v>
      </c>
      <c r="O99" s="173">
        <v>0</v>
      </c>
      <c r="P99" s="454"/>
      <c r="Q99" s="173"/>
      <c r="R99" s="477">
        <f t="shared" si="0"/>
        <v>1</v>
      </c>
      <c r="S99" s="475"/>
      <c r="T99" s="477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4.4">
      <c r="A100" s="481">
        <v>59</v>
      </c>
      <c r="B100" s="173" t="s">
        <v>162</v>
      </c>
      <c r="C100" s="473" t="str">
        <f t="shared" si="1"/>
        <v>366</v>
      </c>
      <c r="D100" s="474">
        <v>366</v>
      </c>
      <c r="E100" s="173" t="s">
        <v>226</v>
      </c>
      <c r="F100" s="173" t="s">
        <v>2</v>
      </c>
      <c r="G100" s="173">
        <v>24</v>
      </c>
      <c r="H100" s="173" t="s">
        <v>5</v>
      </c>
      <c r="I100" s="372"/>
      <c r="J100" s="476"/>
      <c r="K100" s="476"/>
      <c r="L100" s="476"/>
      <c r="M100" s="173">
        <v>0</v>
      </c>
      <c r="N100" s="478">
        <v>1</v>
      </c>
      <c r="O100" s="173">
        <v>0</v>
      </c>
      <c r="P100" s="454"/>
      <c r="Q100" s="173">
        <v>1</v>
      </c>
      <c r="R100" s="477">
        <f t="shared" si="0"/>
        <v>1</v>
      </c>
      <c r="S100" s="475"/>
      <c r="T100" s="477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4.4">
      <c r="A101" s="481">
        <v>60</v>
      </c>
      <c r="B101" s="173" t="s">
        <v>162</v>
      </c>
      <c r="C101" s="473" t="str">
        <f t="shared" si="1"/>
        <v>366</v>
      </c>
      <c r="D101" s="474">
        <v>366</v>
      </c>
      <c r="E101" s="173" t="s">
        <v>227</v>
      </c>
      <c r="F101" s="173" t="s">
        <v>2</v>
      </c>
      <c r="G101" s="173">
        <v>23</v>
      </c>
      <c r="H101" s="173" t="s">
        <v>3</v>
      </c>
      <c r="I101" s="372" t="s">
        <v>585</v>
      </c>
      <c r="J101" s="476"/>
      <c r="K101" s="476"/>
      <c r="L101" s="476"/>
      <c r="M101" s="173">
        <v>1</v>
      </c>
      <c r="N101" s="478">
        <v>1</v>
      </c>
      <c r="O101" s="173"/>
      <c r="P101" s="454"/>
      <c r="Q101" s="173"/>
      <c r="R101" s="477">
        <f t="shared" si="0"/>
        <v>1</v>
      </c>
      <c r="S101" s="475"/>
      <c r="T101" s="477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4.4">
      <c r="A102" s="481">
        <v>61</v>
      </c>
      <c r="B102" s="173" t="s">
        <v>162</v>
      </c>
      <c r="C102" s="473" t="str">
        <f t="shared" si="1"/>
        <v>366</v>
      </c>
      <c r="D102" s="474">
        <v>366</v>
      </c>
      <c r="E102" s="173" t="s">
        <v>228</v>
      </c>
      <c r="F102" s="173" t="s">
        <v>2</v>
      </c>
      <c r="G102" s="173">
        <v>19</v>
      </c>
      <c r="H102" s="173" t="s">
        <v>3</v>
      </c>
      <c r="I102" s="372" t="s">
        <v>586</v>
      </c>
      <c r="J102" s="476"/>
      <c r="K102" s="476"/>
      <c r="L102" s="476"/>
      <c r="M102" s="173">
        <v>1</v>
      </c>
      <c r="N102" s="478">
        <v>1</v>
      </c>
      <c r="O102" s="173"/>
      <c r="P102" s="454"/>
      <c r="Q102" s="173"/>
      <c r="R102" s="477">
        <f t="shared" si="0"/>
        <v>1</v>
      </c>
      <c r="S102" s="475"/>
      <c r="T102" s="477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4.4">
      <c r="A103" s="481">
        <v>62</v>
      </c>
      <c r="B103" s="173" t="s">
        <v>162</v>
      </c>
      <c r="C103" s="473" t="str">
        <f t="shared" si="1"/>
        <v>366</v>
      </c>
      <c r="D103" s="474">
        <v>366</v>
      </c>
      <c r="E103" s="173" t="s">
        <v>229</v>
      </c>
      <c r="F103" s="173" t="s">
        <v>2</v>
      </c>
      <c r="G103" s="173">
        <v>21</v>
      </c>
      <c r="H103" s="173" t="s">
        <v>5</v>
      </c>
      <c r="I103" s="372"/>
      <c r="J103" s="476"/>
      <c r="K103" s="476"/>
      <c r="L103" s="476"/>
      <c r="M103" s="173">
        <v>0</v>
      </c>
      <c r="N103" s="478">
        <v>0</v>
      </c>
      <c r="O103" s="173"/>
      <c r="P103" s="454"/>
      <c r="Q103" s="173"/>
      <c r="R103" s="477">
        <f t="shared" si="0"/>
        <v>0</v>
      </c>
      <c r="S103" s="475"/>
      <c r="T103" s="477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4.4">
      <c r="A104" s="481">
        <v>63</v>
      </c>
      <c r="B104" s="173" t="s">
        <v>162</v>
      </c>
      <c r="C104" s="473" t="str">
        <f t="shared" si="1"/>
        <v>366</v>
      </c>
      <c r="D104" s="474">
        <v>366</v>
      </c>
      <c r="E104" s="173" t="s">
        <v>230</v>
      </c>
      <c r="F104" s="173" t="s">
        <v>2</v>
      </c>
      <c r="G104" s="173">
        <v>20</v>
      </c>
      <c r="H104" s="173" t="s">
        <v>3</v>
      </c>
      <c r="I104" s="372" t="s">
        <v>153</v>
      </c>
      <c r="J104" s="476"/>
      <c r="K104" s="476"/>
      <c r="L104" s="476"/>
      <c r="M104" s="173">
        <v>1</v>
      </c>
      <c r="N104" s="478">
        <v>0</v>
      </c>
      <c r="O104" s="173">
        <v>1</v>
      </c>
      <c r="P104" s="454"/>
      <c r="Q104" s="173"/>
      <c r="R104" s="477">
        <f t="shared" si="0"/>
        <v>1</v>
      </c>
      <c r="S104" s="475"/>
      <c r="T104" s="477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4.4">
      <c r="A105" s="481">
        <v>64</v>
      </c>
      <c r="B105" s="173" t="s">
        <v>162</v>
      </c>
      <c r="C105" s="473" t="str">
        <f t="shared" si="1"/>
        <v>366</v>
      </c>
      <c r="D105" s="474">
        <v>366</v>
      </c>
      <c r="E105" s="173" t="s">
        <v>231</v>
      </c>
      <c r="F105" s="173" t="s">
        <v>2</v>
      </c>
      <c r="G105" s="173">
        <v>22</v>
      </c>
      <c r="H105" s="173" t="s">
        <v>3</v>
      </c>
      <c r="I105" s="372" t="s">
        <v>587</v>
      </c>
      <c r="J105" s="476"/>
      <c r="K105" s="476"/>
      <c r="L105" s="476"/>
      <c r="M105" s="173">
        <v>1</v>
      </c>
      <c r="N105" s="478">
        <v>1</v>
      </c>
      <c r="O105" s="173">
        <v>1</v>
      </c>
      <c r="P105" s="454"/>
      <c r="Q105" s="173">
        <v>1</v>
      </c>
      <c r="R105" s="477">
        <f t="shared" si="0"/>
        <v>1</v>
      </c>
      <c r="S105" s="475"/>
      <c r="T105" s="477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4.4">
      <c r="A106" s="481">
        <v>65</v>
      </c>
      <c r="B106" s="173" t="s">
        <v>162</v>
      </c>
      <c r="C106" s="473" t="str">
        <f t="shared" si="1"/>
        <v>366</v>
      </c>
      <c r="D106" s="474">
        <v>366</v>
      </c>
      <c r="E106" s="173" t="s">
        <v>232</v>
      </c>
      <c r="F106" s="173" t="s">
        <v>2</v>
      </c>
      <c r="G106" s="173">
        <v>20</v>
      </c>
      <c r="H106" s="173" t="s">
        <v>3</v>
      </c>
      <c r="I106" s="372" t="s">
        <v>588</v>
      </c>
      <c r="J106" s="476"/>
      <c r="K106" s="476"/>
      <c r="L106" s="476"/>
      <c r="M106" s="173">
        <v>1</v>
      </c>
      <c r="N106" s="478">
        <v>1</v>
      </c>
      <c r="O106" s="173">
        <v>1</v>
      </c>
      <c r="P106" s="454"/>
      <c r="Q106" s="173">
        <v>1</v>
      </c>
      <c r="R106" s="477">
        <f t="shared" ref="R106:R169" si="2">IF(OR(M106=1,N106=1,O106=1,P106=1,Q106=1),1,0)</f>
        <v>1</v>
      </c>
      <c r="S106" s="475"/>
      <c r="T106" s="477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4.4">
      <c r="A107" s="481">
        <v>66</v>
      </c>
      <c r="B107" s="173" t="s">
        <v>162</v>
      </c>
      <c r="C107" s="473" t="str">
        <f t="shared" ref="C107:C170" si="3">LEFT(D107,3)</f>
        <v>366</v>
      </c>
      <c r="D107" s="474">
        <v>366</v>
      </c>
      <c r="E107" s="173" t="s">
        <v>233</v>
      </c>
      <c r="F107" s="173" t="s">
        <v>2</v>
      </c>
      <c r="G107" s="173">
        <v>21</v>
      </c>
      <c r="H107" s="173" t="s">
        <v>3</v>
      </c>
      <c r="I107" s="372" t="s">
        <v>589</v>
      </c>
      <c r="J107" s="476"/>
      <c r="K107" s="476"/>
      <c r="L107" s="476"/>
      <c r="M107" s="173">
        <v>1</v>
      </c>
      <c r="N107" s="478">
        <v>1</v>
      </c>
      <c r="O107" s="173">
        <v>1</v>
      </c>
      <c r="P107" s="454"/>
      <c r="Q107" s="173"/>
      <c r="R107" s="477">
        <f t="shared" si="2"/>
        <v>1</v>
      </c>
      <c r="S107" s="475"/>
      <c r="T107" s="477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4.4">
      <c r="A108" s="481">
        <v>67</v>
      </c>
      <c r="B108" s="173" t="s">
        <v>162</v>
      </c>
      <c r="C108" s="473" t="str">
        <f t="shared" si="3"/>
        <v>366</v>
      </c>
      <c r="D108" s="474">
        <v>366</v>
      </c>
      <c r="E108" s="173" t="s">
        <v>234</v>
      </c>
      <c r="F108" s="173" t="s">
        <v>2</v>
      </c>
      <c r="G108" s="173">
        <v>27</v>
      </c>
      <c r="H108" s="173" t="s">
        <v>3</v>
      </c>
      <c r="I108" s="372" t="s">
        <v>590</v>
      </c>
      <c r="J108" s="476"/>
      <c r="K108" s="476"/>
      <c r="L108" s="476"/>
      <c r="M108" s="173">
        <v>1</v>
      </c>
      <c r="N108" s="478">
        <v>1</v>
      </c>
      <c r="O108" s="173">
        <v>1</v>
      </c>
      <c r="P108" s="454"/>
      <c r="Q108" s="173">
        <v>1</v>
      </c>
      <c r="R108" s="477">
        <f t="shared" si="2"/>
        <v>1</v>
      </c>
      <c r="S108" s="475"/>
      <c r="T108" s="477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4.4">
      <c r="A109" s="481">
        <v>68</v>
      </c>
      <c r="B109" s="173" t="s">
        <v>162</v>
      </c>
      <c r="C109" s="473" t="str">
        <f t="shared" si="3"/>
        <v>366</v>
      </c>
      <c r="D109" s="474">
        <v>366</v>
      </c>
      <c r="E109" s="173" t="s">
        <v>235</v>
      </c>
      <c r="F109" s="173" t="s">
        <v>2</v>
      </c>
      <c r="G109" s="173">
        <v>19</v>
      </c>
      <c r="H109" s="173" t="s">
        <v>3</v>
      </c>
      <c r="I109" s="372" t="s">
        <v>591</v>
      </c>
      <c r="J109" s="476"/>
      <c r="K109" s="476"/>
      <c r="L109" s="476"/>
      <c r="M109" s="173">
        <v>1</v>
      </c>
      <c r="N109" s="478">
        <v>1</v>
      </c>
      <c r="O109" s="173"/>
      <c r="P109" s="454"/>
      <c r="Q109" s="173">
        <v>1</v>
      </c>
      <c r="R109" s="477">
        <f t="shared" si="2"/>
        <v>1</v>
      </c>
      <c r="S109" s="475"/>
      <c r="T109" s="477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4.4">
      <c r="A110" s="481">
        <v>69</v>
      </c>
      <c r="B110" s="484" t="s">
        <v>162</v>
      </c>
      <c r="C110" s="473" t="str">
        <f t="shared" si="3"/>
        <v>366</v>
      </c>
      <c r="D110" s="474">
        <v>366</v>
      </c>
      <c r="E110" s="484" t="s">
        <v>236</v>
      </c>
      <c r="F110" s="484" t="s">
        <v>2</v>
      </c>
      <c r="G110" s="484">
        <v>18</v>
      </c>
      <c r="H110" s="484" t="s">
        <v>3</v>
      </c>
      <c r="I110" s="485" t="s">
        <v>592</v>
      </c>
      <c r="J110" s="476"/>
      <c r="K110" s="476"/>
      <c r="L110" s="476"/>
      <c r="M110" s="484">
        <v>1</v>
      </c>
      <c r="N110" s="478">
        <v>0</v>
      </c>
      <c r="O110" s="484"/>
      <c r="P110" s="487">
        <v>1</v>
      </c>
      <c r="Q110" s="484"/>
      <c r="R110" s="477">
        <f t="shared" si="2"/>
        <v>1</v>
      </c>
      <c r="S110" s="475"/>
      <c r="T110" s="477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4.4">
      <c r="A111" s="481">
        <v>70</v>
      </c>
      <c r="B111" s="484" t="s">
        <v>162</v>
      </c>
      <c r="C111" s="473" t="str">
        <f t="shared" si="3"/>
        <v>366</v>
      </c>
      <c r="D111" s="474">
        <v>366</v>
      </c>
      <c r="E111" s="484" t="s">
        <v>237</v>
      </c>
      <c r="F111" s="484" t="s">
        <v>2</v>
      </c>
      <c r="G111" s="484">
        <v>22</v>
      </c>
      <c r="H111" s="484" t="s">
        <v>3</v>
      </c>
      <c r="I111" s="485" t="s">
        <v>153</v>
      </c>
      <c r="J111" s="476"/>
      <c r="K111" s="476"/>
      <c r="L111" s="476"/>
      <c r="M111" s="484">
        <v>1</v>
      </c>
      <c r="N111" s="478">
        <v>0</v>
      </c>
      <c r="O111" s="484"/>
      <c r="P111" s="487">
        <v>1</v>
      </c>
      <c r="Q111" s="484"/>
      <c r="R111" s="477">
        <f t="shared" si="2"/>
        <v>1</v>
      </c>
      <c r="S111" s="475"/>
      <c r="T111" s="477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4.4">
      <c r="A112" s="481">
        <v>71</v>
      </c>
      <c r="B112" s="173" t="s">
        <v>162</v>
      </c>
      <c r="C112" s="473" t="str">
        <f t="shared" si="3"/>
        <v>366</v>
      </c>
      <c r="D112" s="474">
        <v>366</v>
      </c>
      <c r="E112" s="173" t="s">
        <v>238</v>
      </c>
      <c r="F112" s="173" t="s">
        <v>2</v>
      </c>
      <c r="G112" s="173">
        <v>22</v>
      </c>
      <c r="H112" s="173" t="s">
        <v>3</v>
      </c>
      <c r="I112" s="372" t="s">
        <v>153</v>
      </c>
      <c r="J112" s="476"/>
      <c r="K112" s="476"/>
      <c r="L112" s="476"/>
      <c r="M112" s="173">
        <v>1</v>
      </c>
      <c r="N112" s="478">
        <v>1</v>
      </c>
      <c r="O112" s="173"/>
      <c r="P112" s="454"/>
      <c r="Q112" s="173">
        <v>1</v>
      </c>
      <c r="R112" s="477">
        <f t="shared" si="2"/>
        <v>1</v>
      </c>
      <c r="S112" s="475"/>
      <c r="T112" s="477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4.4">
      <c r="A113" s="481">
        <v>72</v>
      </c>
      <c r="B113" s="173" t="s">
        <v>162</v>
      </c>
      <c r="C113" s="473" t="str">
        <f t="shared" si="3"/>
        <v>366</v>
      </c>
      <c r="D113" s="474">
        <v>366</v>
      </c>
      <c r="E113" s="173" t="s">
        <v>239</v>
      </c>
      <c r="F113" s="173" t="s">
        <v>2</v>
      </c>
      <c r="G113" s="173">
        <v>23</v>
      </c>
      <c r="H113" s="173" t="s">
        <v>3</v>
      </c>
      <c r="I113" s="372" t="s">
        <v>593</v>
      </c>
      <c r="J113" s="476"/>
      <c r="K113" s="476"/>
      <c r="L113" s="476"/>
      <c r="M113" s="173">
        <v>1</v>
      </c>
      <c r="N113" s="478">
        <v>1</v>
      </c>
      <c r="O113" s="173">
        <v>1</v>
      </c>
      <c r="P113" s="454"/>
      <c r="Q113" s="173">
        <v>1</v>
      </c>
      <c r="R113" s="477">
        <f t="shared" si="2"/>
        <v>1</v>
      </c>
      <c r="S113" s="475"/>
      <c r="T113" s="477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27.6">
      <c r="A114" s="481">
        <v>73</v>
      </c>
      <c r="B114" s="173" t="s">
        <v>158</v>
      </c>
      <c r="C114" s="473" t="str">
        <f t="shared" si="3"/>
        <v>366</v>
      </c>
      <c r="D114" s="474">
        <v>366</v>
      </c>
      <c r="E114" s="173" t="s">
        <v>240</v>
      </c>
      <c r="F114" s="173" t="s">
        <v>2</v>
      </c>
      <c r="G114" s="173">
        <v>19</v>
      </c>
      <c r="H114" s="173" t="s">
        <v>3</v>
      </c>
      <c r="I114" s="372" t="s">
        <v>594</v>
      </c>
      <c r="J114" s="476"/>
      <c r="K114" s="476"/>
      <c r="L114" s="476"/>
      <c r="M114" s="173">
        <v>1</v>
      </c>
      <c r="N114" s="478">
        <v>0</v>
      </c>
      <c r="O114" s="173">
        <v>1</v>
      </c>
      <c r="P114" s="454"/>
      <c r="Q114" s="173">
        <v>1</v>
      </c>
      <c r="R114" s="477">
        <f t="shared" si="2"/>
        <v>1</v>
      </c>
      <c r="S114" s="475"/>
      <c r="T114" s="477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4.4">
      <c r="A115" s="481">
        <v>74</v>
      </c>
      <c r="B115" s="173" t="s">
        <v>158</v>
      </c>
      <c r="C115" s="473" t="str">
        <f t="shared" si="3"/>
        <v>366</v>
      </c>
      <c r="D115" s="474">
        <v>366</v>
      </c>
      <c r="E115" s="173" t="s">
        <v>241</v>
      </c>
      <c r="F115" s="173" t="s">
        <v>2</v>
      </c>
      <c r="G115" s="173">
        <v>20</v>
      </c>
      <c r="H115" s="173" t="s">
        <v>3</v>
      </c>
      <c r="I115" s="372" t="s">
        <v>595</v>
      </c>
      <c r="J115" s="476"/>
      <c r="K115" s="476"/>
      <c r="L115" s="476"/>
      <c r="M115" s="173">
        <v>1</v>
      </c>
      <c r="N115" s="478">
        <v>0</v>
      </c>
      <c r="O115" s="173"/>
      <c r="P115" s="454"/>
      <c r="Q115" s="173"/>
      <c r="R115" s="477">
        <f t="shared" si="2"/>
        <v>1</v>
      </c>
      <c r="S115" s="475"/>
      <c r="T115" s="477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4.4">
      <c r="A116" s="481">
        <v>75</v>
      </c>
      <c r="B116" s="173" t="s">
        <v>158</v>
      </c>
      <c r="C116" s="473" t="str">
        <f t="shared" si="3"/>
        <v>366</v>
      </c>
      <c r="D116" s="474">
        <v>366</v>
      </c>
      <c r="E116" s="173" t="s">
        <v>242</v>
      </c>
      <c r="F116" s="173" t="s">
        <v>2</v>
      </c>
      <c r="G116" s="173">
        <v>21</v>
      </c>
      <c r="H116" s="173" t="s">
        <v>3</v>
      </c>
      <c r="I116" s="372" t="s">
        <v>596</v>
      </c>
      <c r="J116" s="476"/>
      <c r="K116" s="476"/>
      <c r="L116" s="476"/>
      <c r="M116" s="173">
        <v>1</v>
      </c>
      <c r="N116" s="478">
        <v>0</v>
      </c>
      <c r="O116" s="173">
        <v>1</v>
      </c>
      <c r="P116" s="454"/>
      <c r="Q116" s="173"/>
      <c r="R116" s="477">
        <f t="shared" si="2"/>
        <v>1</v>
      </c>
      <c r="S116" s="475"/>
      <c r="T116" s="477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41.4">
      <c r="A117" s="481">
        <v>76</v>
      </c>
      <c r="B117" s="173" t="s">
        <v>159</v>
      </c>
      <c r="C117" s="473" t="str">
        <f t="shared" si="3"/>
        <v>366</v>
      </c>
      <c r="D117" s="474">
        <v>366</v>
      </c>
      <c r="E117" s="173" t="s">
        <v>243</v>
      </c>
      <c r="F117" s="173" t="s">
        <v>2</v>
      </c>
      <c r="G117" s="173">
        <v>18</v>
      </c>
      <c r="H117" s="173" t="s">
        <v>3</v>
      </c>
      <c r="I117" s="372" t="s">
        <v>597</v>
      </c>
      <c r="J117" s="476"/>
      <c r="K117" s="476"/>
      <c r="L117" s="476"/>
      <c r="M117" s="173">
        <v>1</v>
      </c>
      <c r="N117" s="478">
        <v>1</v>
      </c>
      <c r="O117" s="173"/>
      <c r="P117" s="454"/>
      <c r="Q117" s="173"/>
      <c r="R117" s="477">
        <f t="shared" si="2"/>
        <v>1</v>
      </c>
      <c r="S117" s="475"/>
      <c r="T117" s="477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27.6">
      <c r="A118" s="481">
        <v>77</v>
      </c>
      <c r="B118" s="173" t="s">
        <v>159</v>
      </c>
      <c r="C118" s="473" t="str">
        <f t="shared" si="3"/>
        <v>366</v>
      </c>
      <c r="D118" s="474">
        <v>366</v>
      </c>
      <c r="E118" s="173" t="s">
        <v>244</v>
      </c>
      <c r="F118" s="173" t="s">
        <v>2</v>
      </c>
      <c r="G118" s="173">
        <v>19</v>
      </c>
      <c r="H118" s="173" t="s">
        <v>3</v>
      </c>
      <c r="I118" s="372" t="s">
        <v>598</v>
      </c>
      <c r="J118" s="476"/>
      <c r="K118" s="476"/>
      <c r="L118" s="476"/>
      <c r="M118" s="173">
        <v>1</v>
      </c>
      <c r="N118" s="478">
        <v>0</v>
      </c>
      <c r="O118" s="173"/>
      <c r="P118" s="454"/>
      <c r="Q118" s="173"/>
      <c r="R118" s="477">
        <f t="shared" si="2"/>
        <v>1</v>
      </c>
      <c r="S118" s="475"/>
      <c r="T118" s="477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27.6">
      <c r="A119" s="481">
        <v>78</v>
      </c>
      <c r="B119" s="173" t="s">
        <v>163</v>
      </c>
      <c r="C119" s="473" t="str">
        <f t="shared" si="3"/>
        <v>366</v>
      </c>
      <c r="D119" s="474">
        <v>366</v>
      </c>
      <c r="E119" s="173" t="s">
        <v>245</v>
      </c>
      <c r="F119" s="173" t="s">
        <v>2</v>
      </c>
      <c r="G119" s="173">
        <v>19</v>
      </c>
      <c r="H119" s="173" t="s">
        <v>3</v>
      </c>
      <c r="I119" s="372" t="s">
        <v>599</v>
      </c>
      <c r="J119" s="476"/>
      <c r="K119" s="476"/>
      <c r="L119" s="476"/>
      <c r="M119" s="173">
        <v>1</v>
      </c>
      <c r="N119" s="478">
        <v>1</v>
      </c>
      <c r="O119" s="173"/>
      <c r="P119" s="454"/>
      <c r="Q119" s="173"/>
      <c r="R119" s="477">
        <f t="shared" si="2"/>
        <v>1</v>
      </c>
      <c r="S119" s="475"/>
      <c r="T119" s="477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27.6">
      <c r="A120" s="481">
        <v>79</v>
      </c>
      <c r="B120" s="173" t="s">
        <v>159</v>
      </c>
      <c r="C120" s="473" t="str">
        <f t="shared" si="3"/>
        <v>366</v>
      </c>
      <c r="D120" s="474">
        <v>366</v>
      </c>
      <c r="E120" s="173" t="s">
        <v>246</v>
      </c>
      <c r="F120" s="173" t="s">
        <v>2</v>
      </c>
      <c r="G120" s="173">
        <v>18</v>
      </c>
      <c r="H120" s="173" t="s">
        <v>3</v>
      </c>
      <c r="I120" s="372" t="s">
        <v>600</v>
      </c>
      <c r="J120" s="476"/>
      <c r="K120" s="476"/>
      <c r="L120" s="476"/>
      <c r="M120" s="173">
        <v>1</v>
      </c>
      <c r="N120" s="478">
        <v>1</v>
      </c>
      <c r="O120" s="173"/>
      <c r="P120" s="454"/>
      <c r="Q120" s="173"/>
      <c r="R120" s="477">
        <f t="shared" si="2"/>
        <v>1</v>
      </c>
      <c r="S120" s="475"/>
      <c r="T120" s="477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41.4">
      <c r="A121" s="481">
        <v>80</v>
      </c>
      <c r="B121" s="173" t="s">
        <v>159</v>
      </c>
      <c r="C121" s="473" t="str">
        <f t="shared" si="3"/>
        <v>366</v>
      </c>
      <c r="D121" s="474">
        <v>366</v>
      </c>
      <c r="E121" s="173" t="s">
        <v>247</v>
      </c>
      <c r="F121" s="173" t="s">
        <v>2</v>
      </c>
      <c r="G121" s="173">
        <v>17</v>
      </c>
      <c r="H121" s="173" t="s">
        <v>3</v>
      </c>
      <c r="I121" s="372" t="s">
        <v>601</v>
      </c>
      <c r="J121" s="476"/>
      <c r="K121" s="476"/>
      <c r="L121" s="476"/>
      <c r="M121" s="173">
        <v>1</v>
      </c>
      <c r="N121" s="478">
        <v>1</v>
      </c>
      <c r="O121" s="173"/>
      <c r="P121" s="454"/>
      <c r="Q121" s="173"/>
      <c r="R121" s="477">
        <f t="shared" si="2"/>
        <v>1</v>
      </c>
      <c r="S121" s="475"/>
      <c r="T121" s="477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27.6">
      <c r="A122" s="481">
        <v>81</v>
      </c>
      <c r="B122" s="173" t="s">
        <v>159</v>
      </c>
      <c r="C122" s="473" t="str">
        <f t="shared" si="3"/>
        <v>366</v>
      </c>
      <c r="D122" s="474">
        <v>366</v>
      </c>
      <c r="E122" s="173" t="s">
        <v>248</v>
      </c>
      <c r="F122" s="173" t="s">
        <v>2</v>
      </c>
      <c r="G122" s="173">
        <v>19</v>
      </c>
      <c r="H122" s="173" t="s">
        <v>3</v>
      </c>
      <c r="I122" s="372" t="s">
        <v>602</v>
      </c>
      <c r="J122" s="476"/>
      <c r="K122" s="476"/>
      <c r="L122" s="476"/>
      <c r="M122" s="173">
        <v>1</v>
      </c>
      <c r="N122" s="478">
        <v>1</v>
      </c>
      <c r="O122" s="173"/>
      <c r="P122" s="454"/>
      <c r="Q122" s="173"/>
      <c r="R122" s="477">
        <f t="shared" si="2"/>
        <v>1</v>
      </c>
      <c r="S122" s="475"/>
      <c r="T122" s="477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27.6">
      <c r="A123" s="481">
        <v>82</v>
      </c>
      <c r="B123" s="173" t="s">
        <v>159</v>
      </c>
      <c r="C123" s="473" t="str">
        <f t="shared" si="3"/>
        <v>366</v>
      </c>
      <c r="D123" s="474">
        <v>366</v>
      </c>
      <c r="E123" s="173" t="s">
        <v>249</v>
      </c>
      <c r="F123" s="173" t="s">
        <v>2</v>
      </c>
      <c r="G123" s="173">
        <v>19</v>
      </c>
      <c r="H123" s="173" t="s">
        <v>3</v>
      </c>
      <c r="I123" s="372" t="s">
        <v>603</v>
      </c>
      <c r="J123" s="476"/>
      <c r="K123" s="476"/>
      <c r="L123" s="476"/>
      <c r="M123" s="173">
        <v>1</v>
      </c>
      <c r="N123" s="478">
        <v>1</v>
      </c>
      <c r="O123" s="173"/>
      <c r="P123" s="454">
        <v>0</v>
      </c>
      <c r="Q123" s="173"/>
      <c r="R123" s="477">
        <f t="shared" si="2"/>
        <v>1</v>
      </c>
      <c r="S123" s="475"/>
      <c r="T123" s="477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27.6">
      <c r="A124" s="481">
        <v>83</v>
      </c>
      <c r="B124" s="173" t="s">
        <v>159</v>
      </c>
      <c r="C124" s="473" t="str">
        <f t="shared" si="3"/>
        <v>366</v>
      </c>
      <c r="D124" s="474">
        <v>366</v>
      </c>
      <c r="E124" s="173" t="s">
        <v>250</v>
      </c>
      <c r="F124" s="173" t="s">
        <v>2</v>
      </c>
      <c r="G124" s="173">
        <v>20</v>
      </c>
      <c r="H124" s="173" t="s">
        <v>3</v>
      </c>
      <c r="I124" s="372" t="s">
        <v>604</v>
      </c>
      <c r="J124" s="476"/>
      <c r="K124" s="476"/>
      <c r="L124" s="476"/>
      <c r="M124" s="173">
        <v>1</v>
      </c>
      <c r="N124" s="478">
        <v>1</v>
      </c>
      <c r="O124" s="173"/>
      <c r="P124" s="454"/>
      <c r="Q124" s="173"/>
      <c r="R124" s="477">
        <f t="shared" si="2"/>
        <v>1</v>
      </c>
      <c r="S124" s="475"/>
      <c r="T124" s="477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41.4">
      <c r="A125" s="481">
        <v>84</v>
      </c>
      <c r="B125" s="173" t="s">
        <v>159</v>
      </c>
      <c r="C125" s="473" t="str">
        <f t="shared" si="3"/>
        <v>366</v>
      </c>
      <c r="D125" s="474">
        <v>366</v>
      </c>
      <c r="E125" s="173" t="s">
        <v>251</v>
      </c>
      <c r="F125" s="173" t="s">
        <v>2</v>
      </c>
      <c r="G125" s="173">
        <v>21</v>
      </c>
      <c r="H125" s="173" t="s">
        <v>3</v>
      </c>
      <c r="I125" s="372" t="s">
        <v>605</v>
      </c>
      <c r="J125" s="476"/>
      <c r="K125" s="476"/>
      <c r="L125" s="476"/>
      <c r="M125" s="173">
        <v>1</v>
      </c>
      <c r="N125" s="478">
        <v>0</v>
      </c>
      <c r="O125" s="173"/>
      <c r="P125" s="454"/>
      <c r="Q125" s="173"/>
      <c r="R125" s="477">
        <f t="shared" si="2"/>
        <v>1</v>
      </c>
      <c r="S125" s="475"/>
      <c r="T125" s="477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4.4">
      <c r="A126" s="481">
        <v>85</v>
      </c>
      <c r="B126" s="484" t="s">
        <v>162</v>
      </c>
      <c r="C126" s="473" t="str">
        <f t="shared" si="3"/>
        <v>366</v>
      </c>
      <c r="D126" s="474">
        <v>366</v>
      </c>
      <c r="E126" s="484" t="s">
        <v>252</v>
      </c>
      <c r="F126" s="484" t="s">
        <v>2</v>
      </c>
      <c r="G126" s="484">
        <v>22</v>
      </c>
      <c r="H126" s="484" t="s">
        <v>3</v>
      </c>
      <c r="I126" s="485" t="s">
        <v>606</v>
      </c>
      <c r="J126" s="476"/>
      <c r="K126" s="476"/>
      <c r="L126" s="476"/>
      <c r="M126" s="484">
        <v>1</v>
      </c>
      <c r="N126" s="478">
        <v>0</v>
      </c>
      <c r="O126" s="484"/>
      <c r="P126" s="487">
        <v>1</v>
      </c>
      <c r="Q126" s="484">
        <v>1</v>
      </c>
      <c r="R126" s="477">
        <f t="shared" si="2"/>
        <v>1</v>
      </c>
      <c r="S126" s="475"/>
      <c r="T126" s="477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27.6">
      <c r="A127" s="481">
        <v>86</v>
      </c>
      <c r="B127" s="173" t="s">
        <v>159</v>
      </c>
      <c r="C127" s="473" t="str">
        <f t="shared" si="3"/>
        <v>366</v>
      </c>
      <c r="D127" s="474">
        <v>366</v>
      </c>
      <c r="E127" s="173" t="s">
        <v>253</v>
      </c>
      <c r="F127" s="173" t="s">
        <v>2</v>
      </c>
      <c r="G127" s="173">
        <v>21</v>
      </c>
      <c r="H127" s="173" t="s">
        <v>3</v>
      </c>
      <c r="I127" s="372" t="s">
        <v>607</v>
      </c>
      <c r="J127" s="476"/>
      <c r="K127" s="476"/>
      <c r="L127" s="476"/>
      <c r="M127" s="173">
        <v>1</v>
      </c>
      <c r="N127" s="478">
        <v>1</v>
      </c>
      <c r="O127" s="173"/>
      <c r="P127" s="454"/>
      <c r="Q127" s="173"/>
      <c r="R127" s="477">
        <f t="shared" si="2"/>
        <v>1</v>
      </c>
      <c r="S127" s="475"/>
      <c r="T127" s="477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41.4">
      <c r="A128" s="481">
        <v>87</v>
      </c>
      <c r="B128" s="173" t="s">
        <v>159</v>
      </c>
      <c r="C128" s="473" t="str">
        <f t="shared" si="3"/>
        <v>366</v>
      </c>
      <c r="D128" s="474">
        <v>366</v>
      </c>
      <c r="E128" s="173" t="s">
        <v>254</v>
      </c>
      <c r="F128" s="173" t="s">
        <v>2</v>
      </c>
      <c r="G128" s="173">
        <v>19</v>
      </c>
      <c r="H128" s="173" t="s">
        <v>3</v>
      </c>
      <c r="I128" s="372" t="s">
        <v>608</v>
      </c>
      <c r="J128" s="476"/>
      <c r="K128" s="476"/>
      <c r="L128" s="476"/>
      <c r="M128" s="173">
        <v>1</v>
      </c>
      <c r="N128" s="478">
        <v>0</v>
      </c>
      <c r="O128" s="173"/>
      <c r="P128" s="454"/>
      <c r="Q128" s="173"/>
      <c r="R128" s="477">
        <f t="shared" si="2"/>
        <v>1</v>
      </c>
      <c r="S128" s="475"/>
      <c r="T128" s="477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27.6">
      <c r="A129" s="481">
        <v>88</v>
      </c>
      <c r="B129" s="484" t="s">
        <v>159</v>
      </c>
      <c r="C129" s="473" t="str">
        <f t="shared" si="3"/>
        <v>366</v>
      </c>
      <c r="D129" s="474">
        <v>366</v>
      </c>
      <c r="E129" s="484" t="s">
        <v>255</v>
      </c>
      <c r="F129" s="484" t="s">
        <v>2</v>
      </c>
      <c r="G129" s="484">
        <v>18</v>
      </c>
      <c r="H129" s="484" t="s">
        <v>3</v>
      </c>
      <c r="I129" s="485" t="s">
        <v>609</v>
      </c>
      <c r="J129" s="476"/>
      <c r="K129" s="476"/>
      <c r="L129" s="476"/>
      <c r="M129" s="484">
        <v>1</v>
      </c>
      <c r="N129" s="478">
        <v>0</v>
      </c>
      <c r="O129" s="484"/>
      <c r="P129" s="487">
        <v>1</v>
      </c>
      <c r="Q129" s="484"/>
      <c r="R129" s="477">
        <f t="shared" si="2"/>
        <v>1</v>
      </c>
      <c r="S129" s="475"/>
      <c r="T129" s="477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41.4">
      <c r="A130" s="481">
        <v>89</v>
      </c>
      <c r="B130" s="173" t="s">
        <v>159</v>
      </c>
      <c r="C130" s="473" t="str">
        <f t="shared" si="3"/>
        <v>366</v>
      </c>
      <c r="D130" s="474">
        <v>366</v>
      </c>
      <c r="E130" s="173" t="s">
        <v>256</v>
      </c>
      <c r="F130" s="173" t="s">
        <v>2</v>
      </c>
      <c r="G130" s="173">
        <v>19</v>
      </c>
      <c r="H130" s="173" t="s">
        <v>3</v>
      </c>
      <c r="I130" s="372" t="s">
        <v>610</v>
      </c>
      <c r="J130" s="476"/>
      <c r="K130" s="476"/>
      <c r="L130" s="476"/>
      <c r="M130" s="173">
        <v>1</v>
      </c>
      <c r="N130" s="478">
        <v>1</v>
      </c>
      <c r="O130" s="173"/>
      <c r="P130" s="454"/>
      <c r="Q130" s="173"/>
      <c r="R130" s="477">
        <f t="shared" si="2"/>
        <v>1</v>
      </c>
      <c r="S130" s="475"/>
      <c r="T130" s="477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27.6">
      <c r="A131" s="481">
        <v>90</v>
      </c>
      <c r="B131" s="173" t="s">
        <v>158</v>
      </c>
      <c r="C131" s="473" t="str">
        <f t="shared" si="3"/>
        <v>366</v>
      </c>
      <c r="D131" s="474">
        <v>366</v>
      </c>
      <c r="E131" s="173" t="s">
        <v>257</v>
      </c>
      <c r="F131" s="173" t="s">
        <v>2</v>
      </c>
      <c r="G131" s="173">
        <v>21</v>
      </c>
      <c r="H131" s="173" t="s">
        <v>3</v>
      </c>
      <c r="I131" s="372" t="s">
        <v>611</v>
      </c>
      <c r="J131" s="476"/>
      <c r="K131" s="476"/>
      <c r="L131" s="476"/>
      <c r="M131" s="173">
        <v>1</v>
      </c>
      <c r="N131" s="478">
        <v>1</v>
      </c>
      <c r="O131" s="173">
        <v>1</v>
      </c>
      <c r="P131" s="454"/>
      <c r="Q131" s="173"/>
      <c r="R131" s="477">
        <f t="shared" si="2"/>
        <v>1</v>
      </c>
      <c r="S131" s="475"/>
      <c r="T131" s="477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4.4">
      <c r="A132" s="481">
        <v>91</v>
      </c>
      <c r="B132" s="173" t="s">
        <v>158</v>
      </c>
      <c r="C132" s="473" t="str">
        <f t="shared" si="3"/>
        <v>366</v>
      </c>
      <c r="D132" s="474">
        <v>366</v>
      </c>
      <c r="E132" s="173" t="s">
        <v>258</v>
      </c>
      <c r="F132" s="173" t="s">
        <v>2</v>
      </c>
      <c r="G132" s="173">
        <v>20</v>
      </c>
      <c r="H132" s="173" t="s">
        <v>5</v>
      </c>
      <c r="I132" s="372"/>
      <c r="J132" s="476"/>
      <c r="K132" s="476"/>
      <c r="L132" s="476"/>
      <c r="M132" s="173">
        <v>0</v>
      </c>
      <c r="N132" s="478">
        <v>0</v>
      </c>
      <c r="O132" s="173"/>
      <c r="P132" s="454"/>
      <c r="Q132" s="173"/>
      <c r="R132" s="477">
        <f t="shared" si="2"/>
        <v>0</v>
      </c>
      <c r="S132" s="475"/>
      <c r="T132" s="477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4.4">
      <c r="A133" s="481">
        <v>92</v>
      </c>
      <c r="B133" s="173" t="s">
        <v>158</v>
      </c>
      <c r="C133" s="473" t="str">
        <f t="shared" si="3"/>
        <v>366</v>
      </c>
      <c r="D133" s="474">
        <v>366</v>
      </c>
      <c r="E133" s="173" t="s">
        <v>259</v>
      </c>
      <c r="F133" s="173" t="s">
        <v>2</v>
      </c>
      <c r="G133" s="173">
        <v>20</v>
      </c>
      <c r="H133" s="173" t="s">
        <v>3</v>
      </c>
      <c r="I133" s="372" t="s">
        <v>612</v>
      </c>
      <c r="J133" s="476"/>
      <c r="K133" s="476"/>
      <c r="L133" s="476"/>
      <c r="M133" s="173">
        <v>1</v>
      </c>
      <c r="N133" s="478">
        <v>0</v>
      </c>
      <c r="O133" s="173">
        <v>1</v>
      </c>
      <c r="P133" s="454"/>
      <c r="Q133" s="173"/>
      <c r="R133" s="477">
        <f t="shared" si="2"/>
        <v>1</v>
      </c>
      <c r="S133" s="475"/>
      <c r="T133" s="477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4.4">
      <c r="A134" s="481">
        <v>93</v>
      </c>
      <c r="B134" s="173" t="s">
        <v>159</v>
      </c>
      <c r="C134" s="473" t="str">
        <f t="shared" si="3"/>
        <v>366</v>
      </c>
      <c r="D134" s="474">
        <v>366</v>
      </c>
      <c r="E134" s="173" t="s">
        <v>260</v>
      </c>
      <c r="F134" s="173" t="s">
        <v>2</v>
      </c>
      <c r="G134" s="173">
        <v>19</v>
      </c>
      <c r="H134" s="173" t="s">
        <v>3</v>
      </c>
      <c r="I134" s="372" t="s">
        <v>613</v>
      </c>
      <c r="J134" s="476"/>
      <c r="K134" s="476"/>
      <c r="L134" s="476"/>
      <c r="M134" s="173">
        <v>1</v>
      </c>
      <c r="N134" s="478">
        <v>1</v>
      </c>
      <c r="O134" s="173"/>
      <c r="P134" s="454"/>
      <c r="Q134" s="173"/>
      <c r="R134" s="477">
        <f t="shared" si="2"/>
        <v>1</v>
      </c>
      <c r="S134" s="475"/>
      <c r="T134" s="477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4.4">
      <c r="A135" s="481">
        <v>94</v>
      </c>
      <c r="B135" s="173" t="s">
        <v>162</v>
      </c>
      <c r="C135" s="473" t="str">
        <f t="shared" si="3"/>
        <v>366</v>
      </c>
      <c r="D135" s="474">
        <v>366</v>
      </c>
      <c r="E135" s="173" t="s">
        <v>261</v>
      </c>
      <c r="F135" s="173" t="s">
        <v>2</v>
      </c>
      <c r="G135" s="173">
        <v>19</v>
      </c>
      <c r="H135" s="173" t="s">
        <v>3</v>
      </c>
      <c r="I135" s="372" t="s">
        <v>614</v>
      </c>
      <c r="J135" s="476"/>
      <c r="K135" s="476"/>
      <c r="L135" s="476"/>
      <c r="M135" s="173">
        <v>1</v>
      </c>
      <c r="N135" s="478">
        <v>0</v>
      </c>
      <c r="O135" s="173"/>
      <c r="P135" s="454"/>
      <c r="Q135" s="173"/>
      <c r="R135" s="477">
        <f t="shared" si="2"/>
        <v>1</v>
      </c>
      <c r="S135" s="475"/>
      <c r="T135" s="477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27.6">
      <c r="A136" s="481">
        <v>95</v>
      </c>
      <c r="B136" s="173" t="s">
        <v>159</v>
      </c>
      <c r="C136" s="473" t="str">
        <f t="shared" si="3"/>
        <v>366</v>
      </c>
      <c r="D136" s="474">
        <v>366</v>
      </c>
      <c r="E136" s="173" t="s">
        <v>262</v>
      </c>
      <c r="F136" s="173" t="s">
        <v>2</v>
      </c>
      <c r="G136" s="173">
        <v>20</v>
      </c>
      <c r="H136" s="173" t="s">
        <v>3</v>
      </c>
      <c r="I136" s="372" t="s">
        <v>615</v>
      </c>
      <c r="J136" s="476"/>
      <c r="K136" s="476"/>
      <c r="L136" s="476"/>
      <c r="M136" s="173">
        <v>1</v>
      </c>
      <c r="N136" s="478">
        <v>0</v>
      </c>
      <c r="O136" s="173"/>
      <c r="P136" s="454"/>
      <c r="Q136" s="173"/>
      <c r="R136" s="477">
        <f t="shared" si="2"/>
        <v>1</v>
      </c>
      <c r="S136" s="475"/>
      <c r="T136" s="477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41.4">
      <c r="A137" s="481">
        <v>96</v>
      </c>
      <c r="B137" s="173" t="s">
        <v>159</v>
      </c>
      <c r="C137" s="473" t="str">
        <f t="shared" si="3"/>
        <v>366</v>
      </c>
      <c r="D137" s="474">
        <v>366</v>
      </c>
      <c r="E137" s="173" t="s">
        <v>263</v>
      </c>
      <c r="F137" s="173" t="s">
        <v>2</v>
      </c>
      <c r="G137" s="173">
        <v>22</v>
      </c>
      <c r="H137" s="173" t="s">
        <v>3</v>
      </c>
      <c r="I137" s="372" t="s">
        <v>616</v>
      </c>
      <c r="J137" s="476"/>
      <c r="K137" s="476"/>
      <c r="L137" s="476"/>
      <c r="M137" s="173">
        <v>1</v>
      </c>
      <c r="N137" s="478">
        <v>0</v>
      </c>
      <c r="O137" s="173"/>
      <c r="P137" s="454"/>
      <c r="Q137" s="173"/>
      <c r="R137" s="477">
        <f t="shared" si="2"/>
        <v>1</v>
      </c>
      <c r="S137" s="475"/>
      <c r="T137" s="477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4.4">
      <c r="A138" s="481">
        <v>97</v>
      </c>
      <c r="B138" s="173" t="s">
        <v>162</v>
      </c>
      <c r="C138" s="473" t="str">
        <f t="shared" si="3"/>
        <v>366</v>
      </c>
      <c r="D138" s="474">
        <v>366</v>
      </c>
      <c r="E138" s="173" t="s">
        <v>264</v>
      </c>
      <c r="F138" s="173" t="s">
        <v>2</v>
      </c>
      <c r="G138" s="173">
        <v>23</v>
      </c>
      <c r="H138" s="173" t="s">
        <v>3</v>
      </c>
      <c r="I138" s="372" t="s">
        <v>617</v>
      </c>
      <c r="J138" s="476"/>
      <c r="K138" s="476"/>
      <c r="L138" s="476"/>
      <c r="M138" s="173">
        <v>1</v>
      </c>
      <c r="N138" s="478">
        <v>0</v>
      </c>
      <c r="O138" s="173"/>
      <c r="P138" s="454"/>
      <c r="Q138" s="173">
        <v>0</v>
      </c>
      <c r="R138" s="477">
        <f t="shared" si="2"/>
        <v>1</v>
      </c>
      <c r="S138" s="475"/>
      <c r="T138" s="477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4.4">
      <c r="A139" s="481">
        <v>98</v>
      </c>
      <c r="B139" s="173" t="s">
        <v>162</v>
      </c>
      <c r="C139" s="473" t="str">
        <f t="shared" si="3"/>
        <v>366</v>
      </c>
      <c r="D139" s="474">
        <v>366</v>
      </c>
      <c r="E139" s="173" t="s">
        <v>265</v>
      </c>
      <c r="F139" s="173" t="s">
        <v>2</v>
      </c>
      <c r="G139" s="173">
        <v>20</v>
      </c>
      <c r="H139" s="173" t="s">
        <v>3</v>
      </c>
      <c r="I139" s="372" t="s">
        <v>618</v>
      </c>
      <c r="J139" s="476"/>
      <c r="K139" s="476"/>
      <c r="L139" s="476"/>
      <c r="M139" s="173">
        <v>1</v>
      </c>
      <c r="N139" s="478">
        <v>1</v>
      </c>
      <c r="O139" s="173">
        <v>0</v>
      </c>
      <c r="P139" s="454"/>
      <c r="Q139" s="173"/>
      <c r="R139" s="477">
        <f t="shared" si="2"/>
        <v>1</v>
      </c>
      <c r="S139" s="475"/>
      <c r="T139" s="477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41.4">
      <c r="A140" s="481">
        <v>99</v>
      </c>
      <c r="B140" s="173" t="s">
        <v>159</v>
      </c>
      <c r="C140" s="473" t="str">
        <f t="shared" si="3"/>
        <v>366</v>
      </c>
      <c r="D140" s="474">
        <v>366</v>
      </c>
      <c r="E140" s="173" t="s">
        <v>266</v>
      </c>
      <c r="F140" s="173" t="s">
        <v>2</v>
      </c>
      <c r="G140" s="173">
        <v>27</v>
      </c>
      <c r="H140" s="173" t="s">
        <v>3</v>
      </c>
      <c r="I140" s="372" t="s">
        <v>619</v>
      </c>
      <c r="J140" s="476"/>
      <c r="K140" s="476"/>
      <c r="L140" s="476"/>
      <c r="M140" s="173">
        <v>1</v>
      </c>
      <c r="N140" s="478">
        <v>1</v>
      </c>
      <c r="O140" s="173"/>
      <c r="P140" s="454"/>
      <c r="Q140" s="173">
        <v>1</v>
      </c>
      <c r="R140" s="477">
        <f t="shared" si="2"/>
        <v>1</v>
      </c>
      <c r="S140" s="475"/>
      <c r="T140" s="477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4.4">
      <c r="A141" s="481">
        <v>100</v>
      </c>
      <c r="B141" s="173" t="s">
        <v>162</v>
      </c>
      <c r="C141" s="473" t="str">
        <f t="shared" si="3"/>
        <v>366</v>
      </c>
      <c r="D141" s="474">
        <v>366</v>
      </c>
      <c r="E141" s="173" t="s">
        <v>267</v>
      </c>
      <c r="F141" s="173" t="s">
        <v>2</v>
      </c>
      <c r="G141" s="173">
        <v>19</v>
      </c>
      <c r="H141" s="173" t="s">
        <v>3</v>
      </c>
      <c r="I141" s="372" t="s">
        <v>620</v>
      </c>
      <c r="J141" s="476"/>
      <c r="K141" s="476"/>
      <c r="L141" s="476"/>
      <c r="M141" s="173">
        <v>1</v>
      </c>
      <c r="N141" s="478">
        <v>1</v>
      </c>
      <c r="O141" s="173"/>
      <c r="P141" s="454"/>
      <c r="Q141" s="173"/>
      <c r="R141" s="477">
        <f t="shared" si="2"/>
        <v>1</v>
      </c>
      <c r="S141" s="475"/>
      <c r="T141" s="477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27.6">
      <c r="A142" s="481">
        <v>101</v>
      </c>
      <c r="B142" s="173" t="s">
        <v>159</v>
      </c>
      <c r="C142" s="473" t="str">
        <f t="shared" si="3"/>
        <v>366</v>
      </c>
      <c r="D142" s="474">
        <v>366</v>
      </c>
      <c r="E142" s="173" t="s">
        <v>268</v>
      </c>
      <c r="F142" s="173" t="s">
        <v>2</v>
      </c>
      <c r="G142" s="173">
        <v>18</v>
      </c>
      <c r="H142" s="173" t="s">
        <v>3</v>
      </c>
      <c r="I142" s="372" t="s">
        <v>621</v>
      </c>
      <c r="J142" s="476"/>
      <c r="K142" s="476"/>
      <c r="L142" s="476"/>
      <c r="M142" s="173">
        <v>1</v>
      </c>
      <c r="N142" s="478">
        <v>0</v>
      </c>
      <c r="O142" s="173">
        <v>1</v>
      </c>
      <c r="P142" s="454"/>
      <c r="Q142" s="173"/>
      <c r="R142" s="477">
        <f t="shared" si="2"/>
        <v>1</v>
      </c>
      <c r="S142" s="475"/>
      <c r="T142" s="477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4.4">
      <c r="A143" s="481">
        <v>102</v>
      </c>
      <c r="B143" s="173" t="s">
        <v>162</v>
      </c>
      <c r="C143" s="473" t="str">
        <f t="shared" si="3"/>
        <v>366</v>
      </c>
      <c r="D143" s="474">
        <v>366</v>
      </c>
      <c r="E143" s="173" t="s">
        <v>269</v>
      </c>
      <c r="F143" s="173" t="s">
        <v>2</v>
      </c>
      <c r="G143" s="173">
        <v>17</v>
      </c>
      <c r="H143" s="173" t="s">
        <v>3</v>
      </c>
      <c r="I143" s="372" t="s">
        <v>622</v>
      </c>
      <c r="J143" s="476"/>
      <c r="K143" s="476"/>
      <c r="L143" s="476"/>
      <c r="M143" s="173">
        <v>1</v>
      </c>
      <c r="N143" s="478">
        <v>0</v>
      </c>
      <c r="O143" s="173"/>
      <c r="P143" s="454"/>
      <c r="Q143" s="173"/>
      <c r="R143" s="477">
        <f t="shared" si="2"/>
        <v>1</v>
      </c>
      <c r="S143" s="475"/>
      <c r="T143" s="477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27.6">
      <c r="A144" s="481">
        <v>103</v>
      </c>
      <c r="B144" s="173" t="s">
        <v>159</v>
      </c>
      <c r="C144" s="473" t="str">
        <f t="shared" si="3"/>
        <v>366</v>
      </c>
      <c r="D144" s="474">
        <v>366</v>
      </c>
      <c r="E144" s="173" t="s">
        <v>270</v>
      </c>
      <c r="F144" s="173" t="s">
        <v>2</v>
      </c>
      <c r="G144" s="173">
        <v>18</v>
      </c>
      <c r="H144" s="173" t="s">
        <v>3</v>
      </c>
      <c r="I144" s="372" t="s">
        <v>623</v>
      </c>
      <c r="J144" s="476"/>
      <c r="K144" s="476"/>
      <c r="L144" s="476"/>
      <c r="M144" s="173">
        <v>1</v>
      </c>
      <c r="N144" s="478">
        <v>0</v>
      </c>
      <c r="O144" s="173"/>
      <c r="P144" s="454"/>
      <c r="Q144" s="173"/>
      <c r="R144" s="477">
        <f t="shared" si="2"/>
        <v>1</v>
      </c>
      <c r="S144" s="475"/>
      <c r="T144" s="477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4.4">
      <c r="A145" s="481">
        <v>104</v>
      </c>
      <c r="B145" s="173" t="s">
        <v>164</v>
      </c>
      <c r="C145" s="473" t="str">
        <f t="shared" si="3"/>
        <v>366</v>
      </c>
      <c r="D145" s="474">
        <v>366</v>
      </c>
      <c r="E145" s="173" t="s">
        <v>271</v>
      </c>
      <c r="F145" s="173" t="s">
        <v>2</v>
      </c>
      <c r="G145" s="173">
        <v>22</v>
      </c>
      <c r="H145" s="173" t="s">
        <v>3</v>
      </c>
      <c r="I145" s="372" t="s">
        <v>624</v>
      </c>
      <c r="J145" s="476"/>
      <c r="K145" s="476"/>
      <c r="L145" s="476"/>
      <c r="M145" s="173">
        <v>1</v>
      </c>
      <c r="N145" s="478">
        <v>0</v>
      </c>
      <c r="O145" s="173"/>
      <c r="P145" s="454"/>
      <c r="Q145" s="173"/>
      <c r="R145" s="477">
        <f t="shared" si="2"/>
        <v>1</v>
      </c>
      <c r="S145" s="475"/>
      <c r="T145" s="477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4.4">
      <c r="A146" s="481">
        <v>105</v>
      </c>
      <c r="B146" s="173" t="s">
        <v>164</v>
      </c>
      <c r="C146" s="473" t="str">
        <f t="shared" si="3"/>
        <v>366</v>
      </c>
      <c r="D146" s="474">
        <v>366</v>
      </c>
      <c r="E146" s="173" t="s">
        <v>272</v>
      </c>
      <c r="F146" s="173" t="s">
        <v>2</v>
      </c>
      <c r="G146" s="173">
        <v>19</v>
      </c>
      <c r="H146" s="173" t="s">
        <v>3</v>
      </c>
      <c r="I146" s="372" t="s">
        <v>625</v>
      </c>
      <c r="J146" s="476"/>
      <c r="K146" s="476"/>
      <c r="L146" s="476"/>
      <c r="M146" s="173">
        <v>1</v>
      </c>
      <c r="N146" s="478">
        <v>0</v>
      </c>
      <c r="O146" s="173"/>
      <c r="P146" s="454"/>
      <c r="Q146" s="173"/>
      <c r="R146" s="477">
        <f t="shared" si="2"/>
        <v>1</v>
      </c>
      <c r="S146" s="475"/>
      <c r="T146" s="477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4.4">
      <c r="A147" s="481">
        <v>106</v>
      </c>
      <c r="B147" s="173" t="s">
        <v>164</v>
      </c>
      <c r="C147" s="473" t="str">
        <f t="shared" si="3"/>
        <v>366</v>
      </c>
      <c r="D147" s="474">
        <v>366</v>
      </c>
      <c r="E147" s="173" t="s">
        <v>273</v>
      </c>
      <c r="F147" s="173" t="s">
        <v>2</v>
      </c>
      <c r="G147" s="173">
        <v>18</v>
      </c>
      <c r="H147" s="173" t="s">
        <v>3</v>
      </c>
      <c r="I147" s="372" t="s">
        <v>626</v>
      </c>
      <c r="J147" s="476"/>
      <c r="K147" s="476"/>
      <c r="L147" s="476"/>
      <c r="M147" s="173">
        <v>1</v>
      </c>
      <c r="N147" s="478">
        <v>0</v>
      </c>
      <c r="O147" s="173">
        <v>1</v>
      </c>
      <c r="P147" s="454"/>
      <c r="Q147" s="173"/>
      <c r="R147" s="477">
        <f t="shared" si="2"/>
        <v>1</v>
      </c>
      <c r="S147" s="475"/>
      <c r="T147" s="477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4.4">
      <c r="A148" s="481">
        <v>107</v>
      </c>
      <c r="B148" s="173" t="s">
        <v>164</v>
      </c>
      <c r="C148" s="473" t="str">
        <f t="shared" si="3"/>
        <v>366</v>
      </c>
      <c r="D148" s="474">
        <v>366</v>
      </c>
      <c r="E148" s="173" t="s">
        <v>274</v>
      </c>
      <c r="F148" s="173" t="s">
        <v>2</v>
      </c>
      <c r="G148" s="173">
        <v>19</v>
      </c>
      <c r="H148" s="173" t="s">
        <v>3</v>
      </c>
      <c r="I148" s="372" t="s">
        <v>627</v>
      </c>
      <c r="J148" s="476"/>
      <c r="K148" s="476"/>
      <c r="L148" s="476"/>
      <c r="M148" s="173">
        <v>1</v>
      </c>
      <c r="N148" s="478">
        <v>1</v>
      </c>
      <c r="O148" s="173"/>
      <c r="P148" s="454"/>
      <c r="Q148" s="173">
        <v>0</v>
      </c>
      <c r="R148" s="477">
        <f t="shared" si="2"/>
        <v>1</v>
      </c>
      <c r="S148" s="475"/>
      <c r="T148" s="477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4.4">
      <c r="A149" s="481">
        <v>108</v>
      </c>
      <c r="B149" s="173" t="s">
        <v>164</v>
      </c>
      <c r="C149" s="473" t="str">
        <f t="shared" si="3"/>
        <v>366</v>
      </c>
      <c r="D149" s="474">
        <v>366</v>
      </c>
      <c r="E149" s="173" t="s">
        <v>275</v>
      </c>
      <c r="F149" s="173" t="s">
        <v>2</v>
      </c>
      <c r="G149" s="173">
        <v>16</v>
      </c>
      <c r="H149" s="173" t="s">
        <v>3</v>
      </c>
      <c r="I149" s="372" t="s">
        <v>628</v>
      </c>
      <c r="J149" s="476"/>
      <c r="K149" s="476"/>
      <c r="L149" s="476"/>
      <c r="M149" s="173">
        <v>1</v>
      </c>
      <c r="N149" s="478">
        <v>0</v>
      </c>
      <c r="O149" s="173"/>
      <c r="P149" s="454"/>
      <c r="Q149" s="173"/>
      <c r="R149" s="477">
        <f t="shared" si="2"/>
        <v>1</v>
      </c>
      <c r="S149" s="475"/>
      <c r="T149" s="477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4.4">
      <c r="A150" s="481">
        <v>109</v>
      </c>
      <c r="B150" s="173" t="s">
        <v>164</v>
      </c>
      <c r="C150" s="473" t="str">
        <f t="shared" si="3"/>
        <v>366</v>
      </c>
      <c r="D150" s="474">
        <v>366</v>
      </c>
      <c r="E150" s="173" t="s">
        <v>276</v>
      </c>
      <c r="F150" s="173" t="s">
        <v>2</v>
      </c>
      <c r="G150" s="173">
        <v>18</v>
      </c>
      <c r="H150" s="173" t="s">
        <v>3</v>
      </c>
      <c r="I150" s="372" t="s">
        <v>627</v>
      </c>
      <c r="J150" s="476"/>
      <c r="K150" s="476"/>
      <c r="L150" s="476"/>
      <c r="M150" s="173">
        <v>1</v>
      </c>
      <c r="N150" s="478">
        <v>1</v>
      </c>
      <c r="O150" s="173">
        <v>1</v>
      </c>
      <c r="P150" s="454"/>
      <c r="Q150" s="173"/>
      <c r="R150" s="477">
        <f t="shared" si="2"/>
        <v>1</v>
      </c>
      <c r="S150" s="475"/>
      <c r="T150" s="477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27.6">
      <c r="A151" s="481">
        <v>110</v>
      </c>
      <c r="B151" s="173" t="s">
        <v>163</v>
      </c>
      <c r="C151" s="473" t="str">
        <f t="shared" si="3"/>
        <v>366</v>
      </c>
      <c r="D151" s="474">
        <v>366</v>
      </c>
      <c r="E151" s="173" t="s">
        <v>277</v>
      </c>
      <c r="F151" s="173" t="s">
        <v>2</v>
      </c>
      <c r="G151" s="173">
        <v>21</v>
      </c>
      <c r="H151" s="173" t="s">
        <v>3</v>
      </c>
      <c r="I151" s="372" t="s">
        <v>629</v>
      </c>
      <c r="J151" s="476"/>
      <c r="K151" s="476"/>
      <c r="L151" s="476"/>
      <c r="M151" s="173">
        <v>1</v>
      </c>
      <c r="N151" s="478">
        <v>1</v>
      </c>
      <c r="O151" s="173"/>
      <c r="P151" s="454"/>
      <c r="Q151" s="173"/>
      <c r="R151" s="477">
        <f t="shared" si="2"/>
        <v>1</v>
      </c>
      <c r="S151" s="475"/>
      <c r="T151" s="477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4.4">
      <c r="A152" s="481">
        <v>111</v>
      </c>
      <c r="B152" s="173" t="s">
        <v>164</v>
      </c>
      <c r="C152" s="473" t="str">
        <f t="shared" si="3"/>
        <v>366</v>
      </c>
      <c r="D152" s="474">
        <v>366</v>
      </c>
      <c r="E152" s="173" t="s">
        <v>278</v>
      </c>
      <c r="F152" s="173" t="s">
        <v>2</v>
      </c>
      <c r="G152" s="173">
        <v>19</v>
      </c>
      <c r="H152" s="173" t="s">
        <v>3</v>
      </c>
      <c r="I152" s="372" t="s">
        <v>153</v>
      </c>
      <c r="J152" s="476"/>
      <c r="K152" s="476"/>
      <c r="L152" s="476"/>
      <c r="M152" s="173">
        <v>1</v>
      </c>
      <c r="N152" s="478">
        <v>0</v>
      </c>
      <c r="O152" s="173"/>
      <c r="P152" s="454"/>
      <c r="Q152" s="173"/>
      <c r="R152" s="477">
        <f t="shared" si="2"/>
        <v>1</v>
      </c>
      <c r="S152" s="475"/>
      <c r="T152" s="477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4.4">
      <c r="A153" s="481">
        <v>112</v>
      </c>
      <c r="B153" s="173" t="s">
        <v>163</v>
      </c>
      <c r="C153" s="473" t="str">
        <f t="shared" si="3"/>
        <v>366</v>
      </c>
      <c r="D153" s="474">
        <v>366</v>
      </c>
      <c r="E153" s="173" t="s">
        <v>279</v>
      </c>
      <c r="F153" s="173" t="s">
        <v>2</v>
      </c>
      <c r="G153" s="173">
        <v>23</v>
      </c>
      <c r="H153" s="173" t="s">
        <v>3</v>
      </c>
      <c r="I153" s="372" t="s">
        <v>153</v>
      </c>
      <c r="J153" s="476"/>
      <c r="K153" s="476"/>
      <c r="L153" s="476"/>
      <c r="M153" s="173">
        <v>1</v>
      </c>
      <c r="N153" s="478">
        <v>0</v>
      </c>
      <c r="O153" s="173">
        <v>1</v>
      </c>
      <c r="P153" s="454"/>
      <c r="Q153" s="173">
        <v>1</v>
      </c>
      <c r="R153" s="477">
        <f t="shared" si="2"/>
        <v>1</v>
      </c>
      <c r="S153" s="475"/>
      <c r="T153" s="477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4.4">
      <c r="A154" s="481">
        <v>113</v>
      </c>
      <c r="B154" s="173" t="s">
        <v>163</v>
      </c>
      <c r="C154" s="473" t="str">
        <f t="shared" si="3"/>
        <v>366</v>
      </c>
      <c r="D154" s="474">
        <v>366</v>
      </c>
      <c r="E154" s="173" t="s">
        <v>280</v>
      </c>
      <c r="F154" s="173" t="s">
        <v>2</v>
      </c>
      <c r="G154" s="173">
        <v>20</v>
      </c>
      <c r="H154" s="173" t="s">
        <v>3</v>
      </c>
      <c r="I154" s="372" t="s">
        <v>153</v>
      </c>
      <c r="J154" s="476"/>
      <c r="K154" s="476"/>
      <c r="L154" s="476"/>
      <c r="M154" s="173">
        <v>1</v>
      </c>
      <c r="N154" s="478">
        <v>1</v>
      </c>
      <c r="O154" s="173">
        <v>1</v>
      </c>
      <c r="P154" s="454"/>
      <c r="Q154" s="173"/>
      <c r="R154" s="477">
        <f t="shared" si="2"/>
        <v>1</v>
      </c>
      <c r="S154" s="475"/>
      <c r="T154" s="477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4.4">
      <c r="A155" s="481">
        <v>114</v>
      </c>
      <c r="B155" s="173" t="s">
        <v>164</v>
      </c>
      <c r="C155" s="473" t="str">
        <f t="shared" si="3"/>
        <v>366</v>
      </c>
      <c r="D155" s="474">
        <v>366</v>
      </c>
      <c r="E155" s="173" t="s">
        <v>281</v>
      </c>
      <c r="F155" s="173" t="s">
        <v>2</v>
      </c>
      <c r="G155" s="173">
        <v>21</v>
      </c>
      <c r="H155" s="173" t="s">
        <v>3</v>
      </c>
      <c r="I155" s="372" t="s">
        <v>153</v>
      </c>
      <c r="J155" s="476"/>
      <c r="K155" s="476"/>
      <c r="L155" s="476"/>
      <c r="M155" s="173">
        <v>1</v>
      </c>
      <c r="N155" s="478">
        <v>0</v>
      </c>
      <c r="O155" s="173">
        <v>1</v>
      </c>
      <c r="P155" s="454"/>
      <c r="Q155" s="173"/>
      <c r="R155" s="477">
        <f t="shared" si="2"/>
        <v>1</v>
      </c>
      <c r="S155" s="475"/>
      <c r="T155" s="477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4.4">
      <c r="A156" s="481">
        <v>115</v>
      </c>
      <c r="B156" s="173" t="s">
        <v>164</v>
      </c>
      <c r="C156" s="473" t="str">
        <f t="shared" si="3"/>
        <v>366</v>
      </c>
      <c r="D156" s="474">
        <v>366</v>
      </c>
      <c r="E156" s="173" t="s">
        <v>282</v>
      </c>
      <c r="F156" s="173" t="s">
        <v>2</v>
      </c>
      <c r="G156" s="173">
        <v>22</v>
      </c>
      <c r="H156" s="173" t="s">
        <v>5</v>
      </c>
      <c r="I156" s="372"/>
      <c r="J156" s="476"/>
      <c r="K156" s="476"/>
      <c r="L156" s="476"/>
      <c r="M156" s="173">
        <v>0</v>
      </c>
      <c r="N156" s="478">
        <v>1</v>
      </c>
      <c r="O156" s="173">
        <v>1</v>
      </c>
      <c r="P156" s="454"/>
      <c r="Q156" s="173">
        <v>0</v>
      </c>
      <c r="R156" s="477">
        <f t="shared" si="2"/>
        <v>1</v>
      </c>
      <c r="S156" s="475"/>
      <c r="T156" s="477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4.4">
      <c r="A157" s="481">
        <v>116</v>
      </c>
      <c r="B157" s="173" t="s">
        <v>163</v>
      </c>
      <c r="C157" s="473" t="str">
        <f t="shared" si="3"/>
        <v>366</v>
      </c>
      <c r="D157" s="474">
        <v>366</v>
      </c>
      <c r="E157" s="173" t="s">
        <v>283</v>
      </c>
      <c r="F157" s="173" t="s">
        <v>2</v>
      </c>
      <c r="G157" s="173">
        <v>19</v>
      </c>
      <c r="H157" s="173" t="s">
        <v>3</v>
      </c>
      <c r="I157" s="372" t="s">
        <v>630</v>
      </c>
      <c r="J157" s="476"/>
      <c r="K157" s="476"/>
      <c r="L157" s="476"/>
      <c r="M157" s="173">
        <v>1</v>
      </c>
      <c r="N157" s="478">
        <v>1</v>
      </c>
      <c r="O157" s="173">
        <v>1</v>
      </c>
      <c r="P157" s="454"/>
      <c r="Q157" s="173">
        <v>1</v>
      </c>
      <c r="R157" s="477">
        <f t="shared" si="2"/>
        <v>1</v>
      </c>
      <c r="S157" s="475"/>
      <c r="T157" s="477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4.4">
      <c r="A158" s="481">
        <v>117</v>
      </c>
      <c r="B158" s="173" t="s">
        <v>164</v>
      </c>
      <c r="C158" s="473" t="str">
        <f t="shared" si="3"/>
        <v>366</v>
      </c>
      <c r="D158" s="474">
        <v>366</v>
      </c>
      <c r="E158" s="173" t="s">
        <v>284</v>
      </c>
      <c r="F158" s="173" t="s">
        <v>2</v>
      </c>
      <c r="G158" s="173">
        <v>28</v>
      </c>
      <c r="H158" s="173" t="s">
        <v>3</v>
      </c>
      <c r="I158" s="372" t="s">
        <v>631</v>
      </c>
      <c r="J158" s="476"/>
      <c r="K158" s="476"/>
      <c r="L158" s="476"/>
      <c r="M158" s="173">
        <v>1</v>
      </c>
      <c r="N158" s="478">
        <v>0</v>
      </c>
      <c r="O158" s="173"/>
      <c r="P158" s="454"/>
      <c r="Q158" s="173"/>
      <c r="R158" s="477">
        <f t="shared" si="2"/>
        <v>1</v>
      </c>
      <c r="S158" s="475"/>
      <c r="T158" s="477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4.4">
      <c r="A159" s="481">
        <v>118</v>
      </c>
      <c r="B159" s="173" t="s">
        <v>164</v>
      </c>
      <c r="C159" s="473" t="str">
        <f t="shared" si="3"/>
        <v>366</v>
      </c>
      <c r="D159" s="474">
        <v>366</v>
      </c>
      <c r="E159" s="173" t="s">
        <v>285</v>
      </c>
      <c r="F159" s="173" t="s">
        <v>2</v>
      </c>
      <c r="G159" s="173">
        <v>21</v>
      </c>
      <c r="H159" s="173" t="s">
        <v>3</v>
      </c>
      <c r="I159" s="372" t="s">
        <v>632</v>
      </c>
      <c r="J159" s="476"/>
      <c r="K159" s="476"/>
      <c r="L159" s="476"/>
      <c r="M159" s="173">
        <v>1</v>
      </c>
      <c r="N159" s="478">
        <v>0</v>
      </c>
      <c r="O159" s="173"/>
      <c r="P159" s="454"/>
      <c r="Q159" s="173"/>
      <c r="R159" s="477">
        <f t="shared" si="2"/>
        <v>1</v>
      </c>
      <c r="S159" s="475"/>
      <c r="T159" s="477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4.4">
      <c r="A160" s="481">
        <v>119</v>
      </c>
      <c r="B160" s="173" t="s">
        <v>163</v>
      </c>
      <c r="C160" s="473" t="str">
        <f t="shared" si="3"/>
        <v>366</v>
      </c>
      <c r="D160" s="474">
        <v>366</v>
      </c>
      <c r="E160" s="173" t="s">
        <v>286</v>
      </c>
      <c r="F160" s="173" t="s">
        <v>2</v>
      </c>
      <c r="G160" s="173">
        <v>22</v>
      </c>
      <c r="H160" s="173" t="s">
        <v>3</v>
      </c>
      <c r="I160" s="372" t="s">
        <v>633</v>
      </c>
      <c r="J160" s="476"/>
      <c r="K160" s="476"/>
      <c r="L160" s="476"/>
      <c r="M160" s="173">
        <v>1</v>
      </c>
      <c r="N160" s="478">
        <v>1</v>
      </c>
      <c r="O160" s="173">
        <v>1</v>
      </c>
      <c r="P160" s="454"/>
      <c r="Q160" s="173">
        <v>1</v>
      </c>
      <c r="R160" s="477">
        <f t="shared" si="2"/>
        <v>1</v>
      </c>
      <c r="S160" s="475"/>
      <c r="T160" s="477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4.4">
      <c r="A161" s="481">
        <v>120</v>
      </c>
      <c r="B161" s="173" t="s">
        <v>164</v>
      </c>
      <c r="C161" s="473" t="str">
        <f t="shared" si="3"/>
        <v>366</v>
      </c>
      <c r="D161" s="474">
        <v>366</v>
      </c>
      <c r="E161" s="173" t="s">
        <v>287</v>
      </c>
      <c r="F161" s="173" t="s">
        <v>2</v>
      </c>
      <c r="G161" s="173">
        <v>21</v>
      </c>
      <c r="H161" s="173" t="s">
        <v>3</v>
      </c>
      <c r="I161" s="372" t="s">
        <v>634</v>
      </c>
      <c r="J161" s="476"/>
      <c r="K161" s="476"/>
      <c r="L161" s="476"/>
      <c r="M161" s="173">
        <v>1</v>
      </c>
      <c r="N161" s="478">
        <v>0</v>
      </c>
      <c r="O161" s="173"/>
      <c r="P161" s="454"/>
      <c r="Q161" s="173">
        <v>1</v>
      </c>
      <c r="R161" s="477">
        <f t="shared" si="2"/>
        <v>1</v>
      </c>
      <c r="S161" s="475"/>
      <c r="T161" s="477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4.4">
      <c r="A162" s="481">
        <v>121</v>
      </c>
      <c r="B162" s="173" t="s">
        <v>163</v>
      </c>
      <c r="C162" s="473" t="str">
        <f t="shared" si="3"/>
        <v>366</v>
      </c>
      <c r="D162" s="474">
        <v>366</v>
      </c>
      <c r="E162" s="173" t="s">
        <v>288</v>
      </c>
      <c r="F162" s="173" t="s">
        <v>2</v>
      </c>
      <c r="G162" s="173">
        <v>26</v>
      </c>
      <c r="H162" s="173" t="s">
        <v>3</v>
      </c>
      <c r="I162" s="372" t="s">
        <v>630</v>
      </c>
      <c r="J162" s="476"/>
      <c r="K162" s="476"/>
      <c r="L162" s="476"/>
      <c r="M162" s="173">
        <v>1</v>
      </c>
      <c r="N162" s="478">
        <v>1</v>
      </c>
      <c r="O162" s="173">
        <v>1</v>
      </c>
      <c r="P162" s="454"/>
      <c r="Q162" s="173"/>
      <c r="R162" s="477">
        <f t="shared" si="2"/>
        <v>1</v>
      </c>
      <c r="S162" s="475"/>
      <c r="T162" s="477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4.4">
      <c r="A163" s="481">
        <v>122</v>
      </c>
      <c r="B163" s="173" t="s">
        <v>163</v>
      </c>
      <c r="C163" s="473" t="str">
        <f t="shared" si="3"/>
        <v>366</v>
      </c>
      <c r="D163" s="474">
        <v>366</v>
      </c>
      <c r="E163" s="173" t="s">
        <v>289</v>
      </c>
      <c r="F163" s="173" t="s">
        <v>2</v>
      </c>
      <c r="G163" s="173">
        <v>21</v>
      </c>
      <c r="H163" s="173" t="s">
        <v>3</v>
      </c>
      <c r="I163" s="372" t="s">
        <v>635</v>
      </c>
      <c r="J163" s="476"/>
      <c r="K163" s="476"/>
      <c r="L163" s="476"/>
      <c r="M163" s="173">
        <v>1</v>
      </c>
      <c r="N163" s="478">
        <v>0</v>
      </c>
      <c r="O163" s="173">
        <v>1</v>
      </c>
      <c r="P163" s="454"/>
      <c r="Q163" s="173"/>
      <c r="R163" s="477">
        <f t="shared" si="2"/>
        <v>1</v>
      </c>
      <c r="S163" s="475"/>
      <c r="T163" s="477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4.4">
      <c r="A164" s="481">
        <v>123</v>
      </c>
      <c r="B164" s="173" t="s">
        <v>163</v>
      </c>
      <c r="C164" s="473" t="str">
        <f t="shared" si="3"/>
        <v>366</v>
      </c>
      <c r="D164" s="474">
        <v>366</v>
      </c>
      <c r="E164" s="173" t="s">
        <v>290</v>
      </c>
      <c r="F164" s="173" t="s">
        <v>2</v>
      </c>
      <c r="G164" s="173">
        <v>19</v>
      </c>
      <c r="H164" s="173" t="s">
        <v>3</v>
      </c>
      <c r="I164" s="372" t="s">
        <v>636</v>
      </c>
      <c r="J164" s="476"/>
      <c r="K164" s="476"/>
      <c r="L164" s="476"/>
      <c r="M164" s="173">
        <v>1</v>
      </c>
      <c r="N164" s="478">
        <v>1</v>
      </c>
      <c r="O164" s="173"/>
      <c r="P164" s="454"/>
      <c r="Q164" s="173">
        <v>0</v>
      </c>
      <c r="R164" s="477">
        <f t="shared" si="2"/>
        <v>1</v>
      </c>
      <c r="S164" s="475"/>
      <c r="T164" s="477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4.4">
      <c r="A165" s="481">
        <v>124</v>
      </c>
      <c r="B165" s="173" t="s">
        <v>163</v>
      </c>
      <c r="C165" s="473" t="str">
        <f t="shared" si="3"/>
        <v>366</v>
      </c>
      <c r="D165" s="474">
        <v>366</v>
      </c>
      <c r="E165" s="173" t="s">
        <v>291</v>
      </c>
      <c r="F165" s="173" t="s">
        <v>2</v>
      </c>
      <c r="G165" s="173">
        <v>22</v>
      </c>
      <c r="H165" s="173" t="s">
        <v>3</v>
      </c>
      <c r="I165" s="372" t="s">
        <v>637</v>
      </c>
      <c r="J165" s="476"/>
      <c r="K165" s="476"/>
      <c r="L165" s="476"/>
      <c r="M165" s="173">
        <v>1</v>
      </c>
      <c r="N165" s="478">
        <v>0</v>
      </c>
      <c r="O165" s="173">
        <v>1</v>
      </c>
      <c r="P165" s="454"/>
      <c r="Q165" s="173"/>
      <c r="R165" s="477">
        <f t="shared" si="2"/>
        <v>1</v>
      </c>
      <c r="S165" s="475"/>
      <c r="T165" s="477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4.4">
      <c r="A166" s="481">
        <v>125</v>
      </c>
      <c r="B166" s="173" t="s">
        <v>163</v>
      </c>
      <c r="C166" s="473" t="str">
        <f t="shared" si="3"/>
        <v>366</v>
      </c>
      <c r="D166" s="474">
        <v>366</v>
      </c>
      <c r="E166" s="173" t="s">
        <v>292</v>
      </c>
      <c r="F166" s="173" t="s">
        <v>2</v>
      </c>
      <c r="G166" s="173">
        <v>21</v>
      </c>
      <c r="H166" s="173" t="s">
        <v>3</v>
      </c>
      <c r="I166" s="372" t="s">
        <v>638</v>
      </c>
      <c r="J166" s="476"/>
      <c r="K166" s="476"/>
      <c r="L166" s="476"/>
      <c r="M166" s="173">
        <v>1</v>
      </c>
      <c r="N166" s="478">
        <v>0</v>
      </c>
      <c r="O166" s="173"/>
      <c r="P166" s="454"/>
      <c r="Q166" s="173"/>
      <c r="R166" s="477">
        <f t="shared" si="2"/>
        <v>1</v>
      </c>
      <c r="S166" s="475"/>
      <c r="T166" s="477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4.4">
      <c r="A167" s="481">
        <v>126</v>
      </c>
      <c r="B167" s="173" t="s">
        <v>163</v>
      </c>
      <c r="C167" s="473" t="str">
        <f t="shared" si="3"/>
        <v>366</v>
      </c>
      <c r="D167" s="474">
        <v>366</v>
      </c>
      <c r="E167" s="173" t="s">
        <v>293</v>
      </c>
      <c r="F167" s="173" t="s">
        <v>2</v>
      </c>
      <c r="G167" s="173">
        <v>18</v>
      </c>
      <c r="H167" s="173" t="s">
        <v>5</v>
      </c>
      <c r="I167" s="372"/>
      <c r="J167" s="476"/>
      <c r="K167" s="476"/>
      <c r="L167" s="476"/>
      <c r="M167" s="173">
        <v>0</v>
      </c>
      <c r="N167" s="478">
        <v>0</v>
      </c>
      <c r="O167" s="173"/>
      <c r="P167" s="454"/>
      <c r="Q167" s="173">
        <v>0</v>
      </c>
      <c r="R167" s="477">
        <f t="shared" si="2"/>
        <v>0</v>
      </c>
      <c r="S167" s="475"/>
      <c r="T167" s="477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4.4">
      <c r="A168" s="481">
        <v>127</v>
      </c>
      <c r="B168" s="173" t="s">
        <v>163</v>
      </c>
      <c r="C168" s="473" t="str">
        <f t="shared" si="3"/>
        <v>366</v>
      </c>
      <c r="D168" s="474">
        <v>366</v>
      </c>
      <c r="E168" s="173" t="s">
        <v>294</v>
      </c>
      <c r="F168" s="173" t="s">
        <v>2</v>
      </c>
      <c r="G168" s="173">
        <v>21</v>
      </c>
      <c r="H168" s="173" t="s">
        <v>5</v>
      </c>
      <c r="I168" s="372"/>
      <c r="J168" s="476"/>
      <c r="K168" s="476"/>
      <c r="L168" s="476"/>
      <c r="M168" s="173">
        <v>0</v>
      </c>
      <c r="N168" s="478">
        <v>1</v>
      </c>
      <c r="O168" s="173">
        <v>1</v>
      </c>
      <c r="P168" s="454"/>
      <c r="Q168" s="173">
        <v>0</v>
      </c>
      <c r="R168" s="477">
        <f t="shared" si="2"/>
        <v>1</v>
      </c>
      <c r="S168" s="475"/>
      <c r="T168" s="477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4.4">
      <c r="A169" s="481">
        <v>128</v>
      </c>
      <c r="B169" s="173" t="s">
        <v>164</v>
      </c>
      <c r="C169" s="473" t="str">
        <f t="shared" si="3"/>
        <v>366</v>
      </c>
      <c r="D169" s="474">
        <v>366</v>
      </c>
      <c r="E169" s="173" t="s">
        <v>295</v>
      </c>
      <c r="F169" s="173" t="s">
        <v>2</v>
      </c>
      <c r="G169" s="173">
        <v>23</v>
      </c>
      <c r="H169" s="173" t="s">
        <v>5</v>
      </c>
      <c r="I169" s="372"/>
      <c r="J169" s="476"/>
      <c r="K169" s="476"/>
      <c r="L169" s="476"/>
      <c r="M169" s="173">
        <v>0</v>
      </c>
      <c r="N169" s="478">
        <v>0</v>
      </c>
      <c r="O169" s="173"/>
      <c r="P169" s="454"/>
      <c r="Q169" s="173"/>
      <c r="R169" s="477">
        <f t="shared" si="2"/>
        <v>0</v>
      </c>
      <c r="S169" s="475"/>
      <c r="T169" s="477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4.4">
      <c r="A170" s="481">
        <v>129</v>
      </c>
      <c r="B170" s="173" t="s">
        <v>164</v>
      </c>
      <c r="C170" s="473" t="str">
        <f t="shared" si="3"/>
        <v>366</v>
      </c>
      <c r="D170" s="474">
        <v>366</v>
      </c>
      <c r="E170" s="173" t="s">
        <v>296</v>
      </c>
      <c r="F170" s="173" t="s">
        <v>2</v>
      </c>
      <c r="G170" s="173">
        <v>22</v>
      </c>
      <c r="H170" s="173" t="s">
        <v>3</v>
      </c>
      <c r="I170" s="372" t="s">
        <v>639</v>
      </c>
      <c r="J170" s="476"/>
      <c r="K170" s="476"/>
      <c r="L170" s="476"/>
      <c r="M170" s="173">
        <v>1</v>
      </c>
      <c r="N170" s="478">
        <v>0</v>
      </c>
      <c r="O170" s="173">
        <v>1</v>
      </c>
      <c r="P170" s="454"/>
      <c r="Q170" s="173"/>
      <c r="R170" s="477">
        <f t="shared" ref="R170:R233" si="4">IF(OR(M170=1,N170=1,O170=1,P170=1,Q170=1),1,0)</f>
        <v>1</v>
      </c>
      <c r="S170" s="475"/>
      <c r="T170" s="477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4.4">
      <c r="A171" s="481">
        <v>130</v>
      </c>
      <c r="B171" s="173" t="s">
        <v>164</v>
      </c>
      <c r="C171" s="473" t="str">
        <f t="shared" ref="C171:C234" si="5">LEFT(D171,3)</f>
        <v>366</v>
      </c>
      <c r="D171" s="474">
        <v>366</v>
      </c>
      <c r="E171" s="173" t="s">
        <v>297</v>
      </c>
      <c r="F171" s="173" t="s">
        <v>2</v>
      </c>
      <c r="G171" s="173">
        <v>27</v>
      </c>
      <c r="H171" s="173" t="s">
        <v>3</v>
      </c>
      <c r="I171" s="372" t="s">
        <v>640</v>
      </c>
      <c r="J171" s="476"/>
      <c r="K171" s="476"/>
      <c r="L171" s="476"/>
      <c r="M171" s="173">
        <v>1</v>
      </c>
      <c r="N171" s="478">
        <v>1</v>
      </c>
      <c r="O171" s="173">
        <v>1</v>
      </c>
      <c r="P171" s="454"/>
      <c r="Q171" s="173">
        <v>0</v>
      </c>
      <c r="R171" s="477">
        <f t="shared" si="4"/>
        <v>1</v>
      </c>
      <c r="S171" s="475"/>
      <c r="T171" s="477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4.4">
      <c r="A172" s="481">
        <v>131</v>
      </c>
      <c r="B172" s="173" t="s">
        <v>164</v>
      </c>
      <c r="C172" s="473" t="str">
        <f t="shared" si="5"/>
        <v>366</v>
      </c>
      <c r="D172" s="474">
        <v>366</v>
      </c>
      <c r="E172" s="173" t="s">
        <v>298</v>
      </c>
      <c r="F172" s="173" t="s">
        <v>2</v>
      </c>
      <c r="G172" s="173">
        <v>18</v>
      </c>
      <c r="H172" s="173" t="s">
        <v>3</v>
      </c>
      <c r="I172" s="372" t="s">
        <v>641</v>
      </c>
      <c r="J172" s="476"/>
      <c r="K172" s="476"/>
      <c r="L172" s="476"/>
      <c r="M172" s="173">
        <v>1</v>
      </c>
      <c r="N172" s="478">
        <v>0</v>
      </c>
      <c r="O172" s="173">
        <v>1</v>
      </c>
      <c r="P172" s="454"/>
      <c r="Q172" s="173">
        <v>0</v>
      </c>
      <c r="R172" s="477">
        <f t="shared" si="4"/>
        <v>1</v>
      </c>
      <c r="S172" s="475"/>
      <c r="T172" s="477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4.4">
      <c r="A173" s="481">
        <v>132</v>
      </c>
      <c r="B173" s="173" t="s">
        <v>164</v>
      </c>
      <c r="C173" s="473" t="str">
        <f t="shared" si="5"/>
        <v>366</v>
      </c>
      <c r="D173" s="474">
        <v>366</v>
      </c>
      <c r="E173" s="173" t="s">
        <v>299</v>
      </c>
      <c r="F173" s="173" t="s">
        <v>2</v>
      </c>
      <c r="G173" s="173">
        <v>22</v>
      </c>
      <c r="H173" s="173" t="s">
        <v>3</v>
      </c>
      <c r="I173" s="372" t="s">
        <v>642</v>
      </c>
      <c r="J173" s="476"/>
      <c r="K173" s="476"/>
      <c r="L173" s="476"/>
      <c r="M173" s="173">
        <v>1</v>
      </c>
      <c r="N173" s="478">
        <v>0</v>
      </c>
      <c r="O173" s="173"/>
      <c r="P173" s="454"/>
      <c r="Q173" s="173"/>
      <c r="R173" s="477">
        <f t="shared" si="4"/>
        <v>1</v>
      </c>
      <c r="S173" s="475"/>
      <c r="T173" s="477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4.4">
      <c r="A174" s="481">
        <v>133</v>
      </c>
      <c r="B174" s="173" t="s">
        <v>161</v>
      </c>
      <c r="C174" s="473" t="str">
        <f t="shared" si="5"/>
        <v>366</v>
      </c>
      <c r="D174" s="474">
        <v>366</v>
      </c>
      <c r="E174" s="173" t="s">
        <v>300</v>
      </c>
      <c r="F174" s="173" t="s">
        <v>2</v>
      </c>
      <c r="G174" s="173">
        <v>29</v>
      </c>
      <c r="H174" s="173" t="s">
        <v>3</v>
      </c>
      <c r="I174" s="372" t="s">
        <v>643</v>
      </c>
      <c r="J174" s="476"/>
      <c r="K174" s="476"/>
      <c r="L174" s="476"/>
      <c r="M174" s="173">
        <v>1</v>
      </c>
      <c r="N174" s="478">
        <v>0</v>
      </c>
      <c r="O174" s="173"/>
      <c r="P174" s="454"/>
      <c r="Q174" s="173"/>
      <c r="R174" s="477">
        <f t="shared" si="4"/>
        <v>1</v>
      </c>
      <c r="S174" s="475"/>
      <c r="T174" s="477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4.4">
      <c r="A175" s="481">
        <v>134</v>
      </c>
      <c r="B175" s="173" t="s">
        <v>161</v>
      </c>
      <c r="C175" s="473" t="str">
        <f t="shared" si="5"/>
        <v>366</v>
      </c>
      <c r="D175" s="474">
        <v>366</v>
      </c>
      <c r="E175" s="173" t="s">
        <v>301</v>
      </c>
      <c r="F175" s="173" t="s">
        <v>2</v>
      </c>
      <c r="G175" s="173">
        <v>22</v>
      </c>
      <c r="H175" s="173" t="s">
        <v>3</v>
      </c>
      <c r="I175" s="372" t="s">
        <v>644</v>
      </c>
      <c r="J175" s="476"/>
      <c r="K175" s="476"/>
      <c r="L175" s="476"/>
      <c r="M175" s="173">
        <v>1</v>
      </c>
      <c r="N175" s="478">
        <v>0</v>
      </c>
      <c r="O175" s="173"/>
      <c r="P175" s="454"/>
      <c r="Q175" s="173"/>
      <c r="R175" s="477">
        <f t="shared" si="4"/>
        <v>1</v>
      </c>
      <c r="S175" s="475"/>
      <c r="T175" s="477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4.4">
      <c r="A176" s="481">
        <v>135</v>
      </c>
      <c r="B176" s="173" t="s">
        <v>161</v>
      </c>
      <c r="C176" s="473" t="str">
        <f t="shared" si="5"/>
        <v>366</v>
      </c>
      <c r="D176" s="474">
        <v>366</v>
      </c>
      <c r="E176" s="173" t="s">
        <v>302</v>
      </c>
      <c r="F176" s="173" t="s">
        <v>2</v>
      </c>
      <c r="G176" s="173">
        <v>20</v>
      </c>
      <c r="H176" s="173" t="s">
        <v>3</v>
      </c>
      <c r="I176" s="372" t="s">
        <v>645</v>
      </c>
      <c r="J176" s="476"/>
      <c r="K176" s="476"/>
      <c r="L176" s="476"/>
      <c r="M176" s="173">
        <v>1</v>
      </c>
      <c r="N176" s="478">
        <v>0</v>
      </c>
      <c r="O176" s="173">
        <v>1</v>
      </c>
      <c r="P176" s="454"/>
      <c r="Q176" s="173"/>
      <c r="R176" s="477">
        <f t="shared" si="4"/>
        <v>1</v>
      </c>
      <c r="S176" s="475"/>
      <c r="T176" s="477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4.4">
      <c r="A177" s="481">
        <v>136</v>
      </c>
      <c r="B177" s="173" t="s">
        <v>161</v>
      </c>
      <c r="C177" s="473" t="str">
        <f t="shared" si="5"/>
        <v>366</v>
      </c>
      <c r="D177" s="474">
        <v>366</v>
      </c>
      <c r="E177" s="173" t="s">
        <v>303</v>
      </c>
      <c r="F177" s="173" t="s">
        <v>2</v>
      </c>
      <c r="G177" s="173">
        <v>18</v>
      </c>
      <c r="H177" s="173" t="s">
        <v>3</v>
      </c>
      <c r="I177" s="372" t="s">
        <v>646</v>
      </c>
      <c r="J177" s="476"/>
      <c r="K177" s="476"/>
      <c r="L177" s="476"/>
      <c r="M177" s="173">
        <v>1</v>
      </c>
      <c r="N177" s="478">
        <v>0</v>
      </c>
      <c r="O177" s="173">
        <v>1</v>
      </c>
      <c r="P177" s="454">
        <v>1</v>
      </c>
      <c r="Q177" s="173"/>
      <c r="R177" s="477">
        <f t="shared" si="4"/>
        <v>1</v>
      </c>
      <c r="S177" s="475"/>
      <c r="T177" s="477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27.6">
      <c r="A178" s="481">
        <v>137</v>
      </c>
      <c r="B178" s="173" t="s">
        <v>161</v>
      </c>
      <c r="C178" s="473" t="str">
        <f t="shared" si="5"/>
        <v>366</v>
      </c>
      <c r="D178" s="474">
        <v>366</v>
      </c>
      <c r="E178" s="173" t="s">
        <v>304</v>
      </c>
      <c r="F178" s="173" t="s">
        <v>2</v>
      </c>
      <c r="G178" s="173">
        <v>23</v>
      </c>
      <c r="H178" s="173" t="s">
        <v>3</v>
      </c>
      <c r="I178" s="372" t="s">
        <v>647</v>
      </c>
      <c r="J178" s="476"/>
      <c r="K178" s="476"/>
      <c r="L178" s="476"/>
      <c r="M178" s="173">
        <v>1</v>
      </c>
      <c r="N178" s="478">
        <v>1</v>
      </c>
      <c r="O178" s="173">
        <v>0</v>
      </c>
      <c r="P178" s="454"/>
      <c r="Q178" s="173"/>
      <c r="R178" s="477">
        <f t="shared" si="4"/>
        <v>1</v>
      </c>
      <c r="S178" s="475"/>
      <c r="T178" s="477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4.4">
      <c r="A179" s="481">
        <v>138</v>
      </c>
      <c r="B179" s="173" t="s">
        <v>161</v>
      </c>
      <c r="C179" s="473" t="str">
        <f t="shared" si="5"/>
        <v>366</v>
      </c>
      <c r="D179" s="474">
        <v>366</v>
      </c>
      <c r="E179" s="173" t="s">
        <v>305</v>
      </c>
      <c r="F179" s="173" t="s">
        <v>2</v>
      </c>
      <c r="G179" s="173">
        <v>21</v>
      </c>
      <c r="H179" s="173" t="s">
        <v>3</v>
      </c>
      <c r="I179" s="372" t="s">
        <v>648</v>
      </c>
      <c r="J179" s="476"/>
      <c r="K179" s="476"/>
      <c r="L179" s="476"/>
      <c r="M179" s="173">
        <v>1</v>
      </c>
      <c r="N179" s="478">
        <v>1</v>
      </c>
      <c r="O179" s="173"/>
      <c r="P179" s="454"/>
      <c r="Q179" s="173">
        <v>1</v>
      </c>
      <c r="R179" s="477">
        <f t="shared" si="4"/>
        <v>1</v>
      </c>
      <c r="S179" s="475"/>
      <c r="T179" s="477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4.4">
      <c r="A180" s="481">
        <v>139</v>
      </c>
      <c r="B180" s="173" t="s">
        <v>161</v>
      </c>
      <c r="C180" s="473" t="str">
        <f t="shared" si="5"/>
        <v>366</v>
      </c>
      <c r="D180" s="474">
        <v>366</v>
      </c>
      <c r="E180" s="173" t="s">
        <v>306</v>
      </c>
      <c r="F180" s="173" t="s">
        <v>2</v>
      </c>
      <c r="G180" s="173">
        <v>22</v>
      </c>
      <c r="H180" s="173" t="s">
        <v>3</v>
      </c>
      <c r="I180" s="372" t="s">
        <v>649</v>
      </c>
      <c r="J180" s="476"/>
      <c r="K180" s="476"/>
      <c r="L180" s="476"/>
      <c r="M180" s="173">
        <v>1</v>
      </c>
      <c r="N180" s="478">
        <v>1</v>
      </c>
      <c r="O180" s="173">
        <v>1</v>
      </c>
      <c r="P180" s="454"/>
      <c r="Q180" s="173"/>
      <c r="R180" s="477">
        <f t="shared" si="4"/>
        <v>1</v>
      </c>
      <c r="S180" s="475"/>
      <c r="T180" s="477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4.4">
      <c r="A181" s="481">
        <v>140</v>
      </c>
      <c r="B181" s="173" t="s">
        <v>161</v>
      </c>
      <c r="C181" s="473" t="str">
        <f t="shared" si="5"/>
        <v>366</v>
      </c>
      <c r="D181" s="474">
        <v>366</v>
      </c>
      <c r="E181" s="173" t="s">
        <v>307</v>
      </c>
      <c r="F181" s="173" t="s">
        <v>2</v>
      </c>
      <c r="G181" s="173">
        <v>22</v>
      </c>
      <c r="H181" s="173" t="s">
        <v>3</v>
      </c>
      <c r="I181" s="372" t="s">
        <v>650</v>
      </c>
      <c r="J181" s="476"/>
      <c r="K181" s="476"/>
      <c r="L181" s="476"/>
      <c r="M181" s="173">
        <v>1</v>
      </c>
      <c r="N181" s="478">
        <v>1</v>
      </c>
      <c r="O181" s="173"/>
      <c r="P181" s="454"/>
      <c r="Q181" s="173">
        <v>0</v>
      </c>
      <c r="R181" s="477">
        <f t="shared" si="4"/>
        <v>1</v>
      </c>
      <c r="S181" s="475"/>
      <c r="T181" s="477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4.4">
      <c r="A182" s="481">
        <v>141</v>
      </c>
      <c r="B182" s="173" t="s">
        <v>161</v>
      </c>
      <c r="C182" s="473" t="str">
        <f t="shared" si="5"/>
        <v>366</v>
      </c>
      <c r="D182" s="474">
        <v>366</v>
      </c>
      <c r="E182" s="173" t="s">
        <v>308</v>
      </c>
      <c r="F182" s="173" t="s">
        <v>2</v>
      </c>
      <c r="G182" s="173">
        <v>20</v>
      </c>
      <c r="H182" s="173" t="s">
        <v>3</v>
      </c>
      <c r="I182" s="372" t="s">
        <v>651</v>
      </c>
      <c r="J182" s="476"/>
      <c r="K182" s="476"/>
      <c r="L182" s="476"/>
      <c r="M182" s="173">
        <v>1</v>
      </c>
      <c r="N182" s="478">
        <v>1</v>
      </c>
      <c r="O182" s="173">
        <v>1</v>
      </c>
      <c r="P182" s="454"/>
      <c r="Q182" s="173"/>
      <c r="R182" s="477">
        <f t="shared" si="4"/>
        <v>1</v>
      </c>
      <c r="S182" s="475"/>
      <c r="T182" s="477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4.4">
      <c r="A183" s="481">
        <v>142</v>
      </c>
      <c r="B183" s="173" t="s">
        <v>161</v>
      </c>
      <c r="C183" s="473" t="str">
        <f t="shared" si="5"/>
        <v>366</v>
      </c>
      <c r="D183" s="474">
        <v>366</v>
      </c>
      <c r="E183" s="173" t="s">
        <v>309</v>
      </c>
      <c r="F183" s="173" t="s">
        <v>2</v>
      </c>
      <c r="G183" s="173">
        <v>21</v>
      </c>
      <c r="H183" s="173" t="s">
        <v>3</v>
      </c>
      <c r="I183" s="372" t="s">
        <v>652</v>
      </c>
      <c r="J183" s="476"/>
      <c r="K183" s="476"/>
      <c r="L183" s="476"/>
      <c r="M183" s="173">
        <v>1</v>
      </c>
      <c r="N183" s="478">
        <v>1</v>
      </c>
      <c r="O183" s="173"/>
      <c r="P183" s="454"/>
      <c r="Q183" s="173"/>
      <c r="R183" s="477">
        <f t="shared" si="4"/>
        <v>1</v>
      </c>
      <c r="S183" s="475"/>
      <c r="T183" s="477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4.4">
      <c r="A184" s="481">
        <v>143</v>
      </c>
      <c r="B184" s="484" t="s">
        <v>161</v>
      </c>
      <c r="C184" s="473" t="str">
        <f t="shared" si="5"/>
        <v>366</v>
      </c>
      <c r="D184" s="474">
        <v>366</v>
      </c>
      <c r="E184" s="484" t="s">
        <v>310</v>
      </c>
      <c r="F184" s="484" t="s">
        <v>2</v>
      </c>
      <c r="G184" s="484">
        <v>18</v>
      </c>
      <c r="H184" s="484" t="s">
        <v>3</v>
      </c>
      <c r="I184" s="485" t="s">
        <v>653</v>
      </c>
      <c r="J184" s="476"/>
      <c r="K184" s="476"/>
      <c r="L184" s="476"/>
      <c r="M184" s="484">
        <v>1</v>
      </c>
      <c r="N184" s="478">
        <v>1</v>
      </c>
      <c r="O184" s="484"/>
      <c r="P184" s="487">
        <v>1</v>
      </c>
      <c r="Q184" s="484">
        <v>0</v>
      </c>
      <c r="R184" s="477">
        <f t="shared" si="4"/>
        <v>1</v>
      </c>
      <c r="S184" s="475"/>
      <c r="T184" s="477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27.6">
      <c r="A185" s="481">
        <v>144</v>
      </c>
      <c r="B185" s="173" t="s">
        <v>161</v>
      </c>
      <c r="C185" s="473" t="str">
        <f t="shared" si="5"/>
        <v>366</v>
      </c>
      <c r="D185" s="474">
        <v>366</v>
      </c>
      <c r="E185" s="173" t="s">
        <v>311</v>
      </c>
      <c r="F185" s="173" t="s">
        <v>2</v>
      </c>
      <c r="G185" s="173">
        <v>22</v>
      </c>
      <c r="H185" s="173" t="s">
        <v>3</v>
      </c>
      <c r="I185" s="372" t="s">
        <v>654</v>
      </c>
      <c r="J185" s="476"/>
      <c r="K185" s="476"/>
      <c r="L185" s="476"/>
      <c r="M185" s="173">
        <v>1</v>
      </c>
      <c r="N185" s="478">
        <v>0</v>
      </c>
      <c r="O185" s="173">
        <v>1</v>
      </c>
      <c r="P185" s="454"/>
      <c r="Q185" s="173">
        <v>1</v>
      </c>
      <c r="R185" s="477">
        <f t="shared" si="4"/>
        <v>1</v>
      </c>
      <c r="S185" s="475"/>
      <c r="T185" s="477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27.6">
      <c r="A186" s="481">
        <v>145</v>
      </c>
      <c r="B186" s="173" t="s">
        <v>160</v>
      </c>
      <c r="C186" s="473" t="str">
        <f t="shared" si="5"/>
        <v>366</v>
      </c>
      <c r="D186" s="474">
        <v>366</v>
      </c>
      <c r="E186" s="173" t="s">
        <v>312</v>
      </c>
      <c r="F186" s="173" t="s">
        <v>2</v>
      </c>
      <c r="G186" s="173">
        <v>20</v>
      </c>
      <c r="H186" s="173" t="s">
        <v>3</v>
      </c>
      <c r="I186" s="372" t="s">
        <v>655</v>
      </c>
      <c r="J186" s="476"/>
      <c r="K186" s="476"/>
      <c r="L186" s="476"/>
      <c r="M186" s="173">
        <v>1</v>
      </c>
      <c r="N186" s="478">
        <v>1</v>
      </c>
      <c r="O186" s="173"/>
      <c r="P186" s="454"/>
      <c r="Q186" s="173">
        <v>1</v>
      </c>
      <c r="R186" s="477">
        <f t="shared" si="4"/>
        <v>1</v>
      </c>
      <c r="S186" s="475"/>
      <c r="T186" s="477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4.4">
      <c r="A187" s="481">
        <v>146</v>
      </c>
      <c r="B187" s="173" t="s">
        <v>160</v>
      </c>
      <c r="C187" s="473" t="str">
        <f t="shared" si="5"/>
        <v>366</v>
      </c>
      <c r="D187" s="474">
        <v>366</v>
      </c>
      <c r="E187" s="173" t="s">
        <v>313</v>
      </c>
      <c r="F187" s="173" t="s">
        <v>2</v>
      </c>
      <c r="G187" s="173">
        <v>19</v>
      </c>
      <c r="H187" s="173" t="s">
        <v>3</v>
      </c>
      <c r="I187" s="372" t="s">
        <v>656</v>
      </c>
      <c r="J187" s="476"/>
      <c r="K187" s="476"/>
      <c r="L187" s="476"/>
      <c r="M187" s="173">
        <v>1</v>
      </c>
      <c r="N187" s="478">
        <v>0</v>
      </c>
      <c r="O187" s="173"/>
      <c r="P187" s="454"/>
      <c r="Q187" s="173"/>
      <c r="R187" s="477">
        <f t="shared" si="4"/>
        <v>1</v>
      </c>
      <c r="S187" s="475"/>
      <c r="T187" s="477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4.4">
      <c r="A188" s="481">
        <v>147</v>
      </c>
      <c r="B188" s="173" t="s">
        <v>160</v>
      </c>
      <c r="C188" s="473" t="str">
        <f t="shared" si="5"/>
        <v>366</v>
      </c>
      <c r="D188" s="474">
        <v>366</v>
      </c>
      <c r="E188" s="173" t="s">
        <v>314</v>
      </c>
      <c r="F188" s="173" t="s">
        <v>2</v>
      </c>
      <c r="G188" s="173">
        <v>28</v>
      </c>
      <c r="H188" s="173" t="s">
        <v>5</v>
      </c>
      <c r="I188" s="372"/>
      <c r="J188" s="476"/>
      <c r="K188" s="476"/>
      <c r="L188" s="476"/>
      <c r="M188" s="173">
        <v>0</v>
      </c>
      <c r="N188" s="478">
        <v>0</v>
      </c>
      <c r="O188" s="173"/>
      <c r="P188" s="454"/>
      <c r="Q188" s="173"/>
      <c r="R188" s="477">
        <f t="shared" si="4"/>
        <v>0</v>
      </c>
      <c r="S188" s="475"/>
      <c r="T188" s="477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4.4">
      <c r="A189" s="481">
        <v>148</v>
      </c>
      <c r="B189" s="173" t="s">
        <v>160</v>
      </c>
      <c r="C189" s="473" t="str">
        <f t="shared" si="5"/>
        <v>366</v>
      </c>
      <c r="D189" s="474">
        <v>366</v>
      </c>
      <c r="E189" s="173" t="s">
        <v>315</v>
      </c>
      <c r="F189" s="173" t="s">
        <v>2</v>
      </c>
      <c r="G189" s="173">
        <v>23</v>
      </c>
      <c r="H189" s="173" t="s">
        <v>3</v>
      </c>
      <c r="I189" s="372" t="s">
        <v>153</v>
      </c>
      <c r="J189" s="476"/>
      <c r="K189" s="476"/>
      <c r="L189" s="476"/>
      <c r="M189" s="173">
        <v>1</v>
      </c>
      <c r="N189" s="478">
        <v>1</v>
      </c>
      <c r="O189" s="173">
        <v>1</v>
      </c>
      <c r="P189" s="454"/>
      <c r="Q189" s="173">
        <v>1</v>
      </c>
      <c r="R189" s="477">
        <f t="shared" si="4"/>
        <v>1</v>
      </c>
      <c r="S189" s="475"/>
      <c r="T189" s="477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4.4">
      <c r="A190" s="481">
        <v>149</v>
      </c>
      <c r="B190" s="173" t="s">
        <v>160</v>
      </c>
      <c r="C190" s="473" t="str">
        <f t="shared" si="5"/>
        <v>366</v>
      </c>
      <c r="D190" s="474">
        <v>366</v>
      </c>
      <c r="E190" s="173" t="s">
        <v>316</v>
      </c>
      <c r="F190" s="173" t="s">
        <v>2</v>
      </c>
      <c r="G190" s="173">
        <v>18</v>
      </c>
      <c r="H190" s="173" t="s">
        <v>5</v>
      </c>
      <c r="I190" s="372"/>
      <c r="J190" s="476"/>
      <c r="K190" s="476"/>
      <c r="L190" s="476"/>
      <c r="M190" s="173">
        <v>0</v>
      </c>
      <c r="N190" s="478">
        <v>1</v>
      </c>
      <c r="O190" s="173">
        <v>1</v>
      </c>
      <c r="P190" s="454"/>
      <c r="Q190" s="173">
        <v>0</v>
      </c>
      <c r="R190" s="477">
        <f t="shared" si="4"/>
        <v>1</v>
      </c>
      <c r="S190" s="475"/>
      <c r="T190" s="477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4.4">
      <c r="A191" s="481">
        <v>150</v>
      </c>
      <c r="B191" s="173" t="s">
        <v>160</v>
      </c>
      <c r="C191" s="473" t="str">
        <f t="shared" si="5"/>
        <v>366</v>
      </c>
      <c r="D191" s="474">
        <v>366</v>
      </c>
      <c r="E191" s="173" t="s">
        <v>317</v>
      </c>
      <c r="F191" s="173" t="s">
        <v>2</v>
      </c>
      <c r="G191" s="173">
        <v>20</v>
      </c>
      <c r="H191" s="173" t="s">
        <v>3</v>
      </c>
      <c r="I191" s="372" t="s">
        <v>657</v>
      </c>
      <c r="J191" s="476"/>
      <c r="K191" s="476"/>
      <c r="L191" s="476"/>
      <c r="M191" s="173">
        <v>1</v>
      </c>
      <c r="N191" s="478">
        <v>1</v>
      </c>
      <c r="O191" s="173">
        <v>1</v>
      </c>
      <c r="P191" s="454"/>
      <c r="Q191" s="173"/>
      <c r="R191" s="477">
        <f t="shared" si="4"/>
        <v>1</v>
      </c>
      <c r="S191" s="475"/>
      <c r="T191" s="477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4.4">
      <c r="A192" s="481">
        <v>151</v>
      </c>
      <c r="B192" s="173" t="s">
        <v>160</v>
      </c>
      <c r="C192" s="473" t="str">
        <f t="shared" si="5"/>
        <v>366</v>
      </c>
      <c r="D192" s="474">
        <v>366</v>
      </c>
      <c r="E192" s="173" t="s">
        <v>318</v>
      </c>
      <c r="F192" s="173" t="s">
        <v>2</v>
      </c>
      <c r="G192" s="173">
        <v>20</v>
      </c>
      <c r="H192" s="173" t="s">
        <v>3</v>
      </c>
      <c r="I192" s="372" t="s">
        <v>658</v>
      </c>
      <c r="J192" s="476"/>
      <c r="K192" s="476"/>
      <c r="L192" s="476"/>
      <c r="M192" s="173">
        <v>1</v>
      </c>
      <c r="N192" s="478">
        <v>1</v>
      </c>
      <c r="O192" s="173">
        <v>1</v>
      </c>
      <c r="P192" s="454">
        <v>0</v>
      </c>
      <c r="Q192" s="173"/>
      <c r="R192" s="477">
        <f t="shared" si="4"/>
        <v>1</v>
      </c>
      <c r="S192" s="475"/>
      <c r="T192" s="477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4.4">
      <c r="A193" s="481">
        <v>152</v>
      </c>
      <c r="B193" s="173" t="s">
        <v>160</v>
      </c>
      <c r="C193" s="473" t="str">
        <f t="shared" si="5"/>
        <v>366</v>
      </c>
      <c r="D193" s="474">
        <v>366</v>
      </c>
      <c r="E193" s="173" t="s">
        <v>319</v>
      </c>
      <c r="F193" s="173" t="s">
        <v>2</v>
      </c>
      <c r="G193" s="173">
        <v>19</v>
      </c>
      <c r="H193" s="173" t="s">
        <v>3</v>
      </c>
      <c r="I193" s="372" t="s">
        <v>659</v>
      </c>
      <c r="J193" s="476"/>
      <c r="K193" s="476"/>
      <c r="L193" s="476"/>
      <c r="M193" s="173">
        <v>1</v>
      </c>
      <c r="N193" s="478">
        <v>1</v>
      </c>
      <c r="O193" s="173">
        <v>1</v>
      </c>
      <c r="P193" s="454"/>
      <c r="Q193" s="173"/>
      <c r="R193" s="477">
        <f t="shared" si="4"/>
        <v>1</v>
      </c>
      <c r="S193" s="475"/>
      <c r="T193" s="477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4.4">
      <c r="A194" s="481">
        <v>153</v>
      </c>
      <c r="B194" s="173" t="s">
        <v>160</v>
      </c>
      <c r="C194" s="473" t="str">
        <f t="shared" si="5"/>
        <v>366</v>
      </c>
      <c r="D194" s="474">
        <v>366</v>
      </c>
      <c r="E194" s="173" t="s">
        <v>320</v>
      </c>
      <c r="F194" s="173" t="s">
        <v>2</v>
      </c>
      <c r="G194" s="173">
        <v>19</v>
      </c>
      <c r="H194" s="173" t="s">
        <v>3</v>
      </c>
      <c r="I194" s="372" t="s">
        <v>660</v>
      </c>
      <c r="J194" s="476"/>
      <c r="K194" s="476"/>
      <c r="L194" s="476"/>
      <c r="M194" s="173">
        <v>1</v>
      </c>
      <c r="N194" s="478">
        <v>1</v>
      </c>
      <c r="O194" s="173">
        <v>1</v>
      </c>
      <c r="P194" s="454"/>
      <c r="Q194" s="173"/>
      <c r="R194" s="477">
        <f t="shared" si="4"/>
        <v>1</v>
      </c>
      <c r="S194" s="475"/>
      <c r="T194" s="477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4.4">
      <c r="A195" s="481">
        <v>154</v>
      </c>
      <c r="B195" s="173" t="s">
        <v>160</v>
      </c>
      <c r="C195" s="473" t="str">
        <f t="shared" si="5"/>
        <v>366</v>
      </c>
      <c r="D195" s="474">
        <v>366</v>
      </c>
      <c r="E195" s="173" t="s">
        <v>321</v>
      </c>
      <c r="F195" s="173" t="s">
        <v>2</v>
      </c>
      <c r="G195" s="173">
        <v>16</v>
      </c>
      <c r="H195" s="173" t="s">
        <v>5</v>
      </c>
      <c r="I195" s="372"/>
      <c r="J195" s="476"/>
      <c r="K195" s="476"/>
      <c r="L195" s="476"/>
      <c r="M195" s="173">
        <v>0</v>
      </c>
      <c r="N195" s="478">
        <v>0</v>
      </c>
      <c r="O195" s="173"/>
      <c r="P195" s="454"/>
      <c r="Q195" s="173">
        <v>0</v>
      </c>
      <c r="R195" s="477">
        <f t="shared" si="4"/>
        <v>0</v>
      </c>
      <c r="S195" s="475"/>
      <c r="T195" s="477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4.4">
      <c r="A196" s="481">
        <v>155</v>
      </c>
      <c r="B196" s="173" t="s">
        <v>160</v>
      </c>
      <c r="C196" s="473" t="str">
        <f t="shared" si="5"/>
        <v>366</v>
      </c>
      <c r="D196" s="474">
        <v>366</v>
      </c>
      <c r="E196" s="173" t="s">
        <v>322</v>
      </c>
      <c r="F196" s="173" t="s">
        <v>2</v>
      </c>
      <c r="G196" s="173">
        <v>18</v>
      </c>
      <c r="H196" s="173" t="s">
        <v>3</v>
      </c>
      <c r="I196" s="372" t="s">
        <v>625</v>
      </c>
      <c r="J196" s="476"/>
      <c r="K196" s="476"/>
      <c r="L196" s="476"/>
      <c r="M196" s="173">
        <v>1</v>
      </c>
      <c r="N196" s="478">
        <v>0</v>
      </c>
      <c r="O196" s="173">
        <v>1</v>
      </c>
      <c r="P196" s="454"/>
      <c r="Q196" s="173"/>
      <c r="R196" s="477">
        <f t="shared" si="4"/>
        <v>1</v>
      </c>
      <c r="S196" s="475"/>
      <c r="T196" s="477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4.4">
      <c r="A197" s="481">
        <v>156</v>
      </c>
      <c r="B197" s="173" t="s">
        <v>160</v>
      </c>
      <c r="C197" s="473" t="str">
        <f t="shared" si="5"/>
        <v>366</v>
      </c>
      <c r="D197" s="474">
        <v>366</v>
      </c>
      <c r="E197" s="173" t="s">
        <v>323</v>
      </c>
      <c r="F197" s="173" t="s">
        <v>2</v>
      </c>
      <c r="G197" s="173">
        <v>20</v>
      </c>
      <c r="H197" s="173" t="s">
        <v>3</v>
      </c>
      <c r="I197" s="372" t="s">
        <v>661</v>
      </c>
      <c r="J197" s="476"/>
      <c r="K197" s="476"/>
      <c r="L197" s="476"/>
      <c r="M197" s="173">
        <v>1</v>
      </c>
      <c r="N197" s="478">
        <v>1</v>
      </c>
      <c r="O197" s="173">
        <v>1</v>
      </c>
      <c r="P197" s="454"/>
      <c r="Q197" s="173"/>
      <c r="R197" s="477">
        <f t="shared" si="4"/>
        <v>1</v>
      </c>
      <c r="S197" s="475"/>
      <c r="T197" s="477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4.4">
      <c r="A198" s="481">
        <v>157</v>
      </c>
      <c r="B198" s="173" t="s">
        <v>160</v>
      </c>
      <c r="C198" s="473" t="str">
        <f t="shared" si="5"/>
        <v>366</v>
      </c>
      <c r="D198" s="474">
        <v>366</v>
      </c>
      <c r="E198" s="173" t="s">
        <v>324</v>
      </c>
      <c r="F198" s="173" t="s">
        <v>2</v>
      </c>
      <c r="G198" s="173">
        <v>19</v>
      </c>
      <c r="H198" s="173" t="s">
        <v>5</v>
      </c>
      <c r="I198" s="372"/>
      <c r="J198" s="476"/>
      <c r="K198" s="476"/>
      <c r="L198" s="476"/>
      <c r="M198" s="173">
        <v>0</v>
      </c>
      <c r="N198" s="478">
        <v>0</v>
      </c>
      <c r="O198" s="173">
        <v>1</v>
      </c>
      <c r="P198" s="454"/>
      <c r="Q198" s="173"/>
      <c r="R198" s="477">
        <f t="shared" si="4"/>
        <v>1</v>
      </c>
      <c r="S198" s="475"/>
      <c r="T198" s="477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4.4">
      <c r="A199" s="481">
        <v>158</v>
      </c>
      <c r="B199" s="173" t="s">
        <v>160</v>
      </c>
      <c r="C199" s="473" t="str">
        <f t="shared" si="5"/>
        <v>366</v>
      </c>
      <c r="D199" s="474">
        <v>366</v>
      </c>
      <c r="E199" s="173" t="s">
        <v>325</v>
      </c>
      <c r="F199" s="173" t="s">
        <v>2</v>
      </c>
      <c r="G199" s="173">
        <v>17</v>
      </c>
      <c r="H199" s="173" t="s">
        <v>5</v>
      </c>
      <c r="I199" s="372"/>
      <c r="J199" s="476"/>
      <c r="K199" s="476"/>
      <c r="L199" s="476"/>
      <c r="M199" s="173">
        <v>0</v>
      </c>
      <c r="N199" s="478">
        <v>1</v>
      </c>
      <c r="O199" s="173">
        <v>1</v>
      </c>
      <c r="P199" s="454"/>
      <c r="Q199" s="173"/>
      <c r="R199" s="477">
        <f t="shared" si="4"/>
        <v>1</v>
      </c>
      <c r="S199" s="475"/>
      <c r="T199" s="477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4.4">
      <c r="A200" s="481">
        <v>159</v>
      </c>
      <c r="B200" s="173" t="s">
        <v>158</v>
      </c>
      <c r="C200" s="473" t="str">
        <f t="shared" si="5"/>
        <v>366</v>
      </c>
      <c r="D200" s="474">
        <v>366</v>
      </c>
      <c r="E200" s="173" t="s">
        <v>326</v>
      </c>
      <c r="F200" s="173" t="s">
        <v>2</v>
      </c>
      <c r="G200" s="173">
        <v>18</v>
      </c>
      <c r="H200" s="173" t="s">
        <v>3</v>
      </c>
      <c r="I200" s="372" t="s">
        <v>662</v>
      </c>
      <c r="J200" s="476"/>
      <c r="K200" s="476"/>
      <c r="L200" s="476"/>
      <c r="M200" s="173">
        <v>1</v>
      </c>
      <c r="N200" s="478">
        <v>0</v>
      </c>
      <c r="O200" s="173">
        <v>1</v>
      </c>
      <c r="P200" s="454"/>
      <c r="Q200" s="173"/>
      <c r="R200" s="477">
        <f t="shared" si="4"/>
        <v>1</v>
      </c>
      <c r="S200" s="475"/>
      <c r="T200" s="477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4.4">
      <c r="A201" s="481">
        <v>160</v>
      </c>
      <c r="B201" s="173" t="s">
        <v>158</v>
      </c>
      <c r="C201" s="473" t="str">
        <f t="shared" si="5"/>
        <v>366</v>
      </c>
      <c r="D201" s="474">
        <v>366</v>
      </c>
      <c r="E201" s="173" t="s">
        <v>327</v>
      </c>
      <c r="F201" s="173" t="s">
        <v>2</v>
      </c>
      <c r="G201" s="173">
        <v>21</v>
      </c>
      <c r="H201" s="173" t="s">
        <v>3</v>
      </c>
      <c r="I201" s="372" t="s">
        <v>663</v>
      </c>
      <c r="J201" s="476"/>
      <c r="K201" s="476"/>
      <c r="L201" s="476"/>
      <c r="M201" s="173">
        <v>1</v>
      </c>
      <c r="N201" s="478">
        <v>0</v>
      </c>
      <c r="O201" s="173"/>
      <c r="P201" s="454"/>
      <c r="Q201" s="173"/>
      <c r="R201" s="477">
        <f t="shared" si="4"/>
        <v>1</v>
      </c>
      <c r="S201" s="475"/>
      <c r="T201" s="477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4.4">
      <c r="A202" s="481">
        <v>161</v>
      </c>
      <c r="B202" s="173" t="s">
        <v>158</v>
      </c>
      <c r="C202" s="473" t="str">
        <f t="shared" si="5"/>
        <v>366</v>
      </c>
      <c r="D202" s="474">
        <v>366</v>
      </c>
      <c r="E202" s="173" t="s">
        <v>328</v>
      </c>
      <c r="F202" s="173" t="s">
        <v>2</v>
      </c>
      <c r="G202" s="173">
        <v>18</v>
      </c>
      <c r="H202" s="173" t="s">
        <v>3</v>
      </c>
      <c r="I202" s="372" t="s">
        <v>664</v>
      </c>
      <c r="J202" s="476"/>
      <c r="K202" s="476"/>
      <c r="L202" s="476"/>
      <c r="M202" s="173">
        <v>1</v>
      </c>
      <c r="N202" s="478">
        <v>1</v>
      </c>
      <c r="O202" s="173">
        <v>1</v>
      </c>
      <c r="P202" s="454"/>
      <c r="Q202" s="173">
        <v>0</v>
      </c>
      <c r="R202" s="477">
        <f t="shared" si="4"/>
        <v>1</v>
      </c>
      <c r="S202" s="475"/>
      <c r="T202" s="477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4.4">
      <c r="A203" s="481">
        <v>162</v>
      </c>
      <c r="B203" s="173" t="s">
        <v>158</v>
      </c>
      <c r="C203" s="473" t="str">
        <f t="shared" si="5"/>
        <v>366</v>
      </c>
      <c r="D203" s="474">
        <v>366</v>
      </c>
      <c r="E203" s="173" t="s">
        <v>329</v>
      </c>
      <c r="F203" s="173" t="s">
        <v>2</v>
      </c>
      <c r="G203" s="173">
        <v>17</v>
      </c>
      <c r="H203" s="173" t="s">
        <v>3</v>
      </c>
      <c r="I203" s="372" t="s">
        <v>665</v>
      </c>
      <c r="J203" s="476"/>
      <c r="K203" s="476"/>
      <c r="L203" s="476"/>
      <c r="M203" s="173">
        <v>1</v>
      </c>
      <c r="N203" s="478">
        <v>1</v>
      </c>
      <c r="O203" s="173"/>
      <c r="P203" s="454"/>
      <c r="Q203" s="173"/>
      <c r="R203" s="477">
        <f t="shared" si="4"/>
        <v>1</v>
      </c>
      <c r="S203" s="475"/>
      <c r="T203" s="477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27.6">
      <c r="A204" s="481">
        <v>163</v>
      </c>
      <c r="B204" s="173" t="s">
        <v>158</v>
      </c>
      <c r="C204" s="473" t="str">
        <f t="shared" si="5"/>
        <v>366</v>
      </c>
      <c r="D204" s="474">
        <v>366</v>
      </c>
      <c r="E204" s="173" t="s">
        <v>330</v>
      </c>
      <c r="F204" s="173" t="s">
        <v>2</v>
      </c>
      <c r="G204" s="173">
        <v>19</v>
      </c>
      <c r="H204" s="173" t="s">
        <v>3</v>
      </c>
      <c r="I204" s="372" t="s">
        <v>666</v>
      </c>
      <c r="J204" s="476"/>
      <c r="K204" s="476"/>
      <c r="L204" s="476"/>
      <c r="M204" s="173">
        <v>1</v>
      </c>
      <c r="N204" s="478">
        <v>0</v>
      </c>
      <c r="O204" s="173">
        <v>1</v>
      </c>
      <c r="P204" s="454"/>
      <c r="Q204" s="173"/>
      <c r="R204" s="477">
        <f t="shared" si="4"/>
        <v>1</v>
      </c>
      <c r="S204" s="475"/>
      <c r="T204" s="477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4.4">
      <c r="A205" s="481">
        <v>164</v>
      </c>
      <c r="B205" s="173" t="s">
        <v>158</v>
      </c>
      <c r="C205" s="473" t="str">
        <f t="shared" si="5"/>
        <v>366</v>
      </c>
      <c r="D205" s="474">
        <v>366</v>
      </c>
      <c r="E205" s="173" t="s">
        <v>331</v>
      </c>
      <c r="F205" s="173" t="s">
        <v>2</v>
      </c>
      <c r="G205" s="173">
        <v>19</v>
      </c>
      <c r="H205" s="173" t="s">
        <v>3</v>
      </c>
      <c r="I205" s="372" t="s">
        <v>667</v>
      </c>
      <c r="J205" s="476"/>
      <c r="K205" s="476"/>
      <c r="L205" s="476"/>
      <c r="M205" s="173">
        <v>1</v>
      </c>
      <c r="N205" s="478">
        <v>0</v>
      </c>
      <c r="O205" s="173">
        <v>1</v>
      </c>
      <c r="P205" s="454"/>
      <c r="Q205" s="173"/>
      <c r="R205" s="477">
        <f t="shared" si="4"/>
        <v>1</v>
      </c>
      <c r="S205" s="475"/>
      <c r="T205" s="477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4.4">
      <c r="A206" s="481">
        <v>165</v>
      </c>
      <c r="B206" s="173" t="s">
        <v>158</v>
      </c>
      <c r="C206" s="473" t="str">
        <f t="shared" si="5"/>
        <v>366</v>
      </c>
      <c r="D206" s="474">
        <v>366</v>
      </c>
      <c r="E206" s="173" t="s">
        <v>332</v>
      </c>
      <c r="F206" s="173" t="s">
        <v>2</v>
      </c>
      <c r="G206" s="173">
        <v>21</v>
      </c>
      <c r="H206" s="173" t="s">
        <v>3</v>
      </c>
      <c r="I206" s="372" t="s">
        <v>668</v>
      </c>
      <c r="J206" s="476"/>
      <c r="K206" s="476"/>
      <c r="L206" s="476"/>
      <c r="M206" s="173">
        <v>1</v>
      </c>
      <c r="N206" s="478">
        <v>1</v>
      </c>
      <c r="O206" s="173"/>
      <c r="P206" s="454"/>
      <c r="Q206" s="173">
        <v>1</v>
      </c>
      <c r="R206" s="477">
        <f t="shared" si="4"/>
        <v>1</v>
      </c>
      <c r="S206" s="475"/>
      <c r="T206" s="477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4.4">
      <c r="A207" s="481">
        <v>166</v>
      </c>
      <c r="B207" s="173" t="s">
        <v>162</v>
      </c>
      <c r="C207" s="473" t="str">
        <f t="shared" si="5"/>
        <v>366</v>
      </c>
      <c r="D207" s="474">
        <v>366</v>
      </c>
      <c r="E207" s="173" t="s">
        <v>333</v>
      </c>
      <c r="F207" s="173" t="s">
        <v>2</v>
      </c>
      <c r="G207" s="173">
        <v>23</v>
      </c>
      <c r="H207" s="173" t="s">
        <v>3</v>
      </c>
      <c r="I207" s="372" t="s">
        <v>150</v>
      </c>
      <c r="J207" s="476"/>
      <c r="K207" s="476"/>
      <c r="L207" s="476"/>
      <c r="M207" s="173">
        <v>1</v>
      </c>
      <c r="N207" s="478">
        <v>1</v>
      </c>
      <c r="O207" s="173"/>
      <c r="P207" s="454"/>
      <c r="Q207" s="173">
        <v>1</v>
      </c>
      <c r="R207" s="477">
        <f t="shared" si="4"/>
        <v>1</v>
      </c>
      <c r="S207" s="475"/>
      <c r="T207" s="477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4.4">
      <c r="A208" s="481">
        <v>167</v>
      </c>
      <c r="B208" s="173" t="s">
        <v>162</v>
      </c>
      <c r="C208" s="473" t="str">
        <f t="shared" si="5"/>
        <v>366</v>
      </c>
      <c r="D208" s="474">
        <v>366</v>
      </c>
      <c r="E208" s="173" t="s">
        <v>334</v>
      </c>
      <c r="F208" s="173" t="s">
        <v>2</v>
      </c>
      <c r="G208" s="173">
        <v>20</v>
      </c>
      <c r="H208" s="173" t="s">
        <v>3</v>
      </c>
      <c r="I208" s="372" t="s">
        <v>669</v>
      </c>
      <c r="J208" s="476"/>
      <c r="K208" s="476"/>
      <c r="L208" s="476"/>
      <c r="M208" s="173">
        <v>1</v>
      </c>
      <c r="N208" s="478">
        <v>1</v>
      </c>
      <c r="O208" s="173">
        <v>0</v>
      </c>
      <c r="P208" s="454">
        <v>1</v>
      </c>
      <c r="Q208" s="173"/>
      <c r="R208" s="477">
        <f t="shared" si="4"/>
        <v>1</v>
      </c>
      <c r="S208" s="475"/>
      <c r="T208" s="477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4.4">
      <c r="A209" s="481">
        <v>168</v>
      </c>
      <c r="B209" s="173" t="s">
        <v>162</v>
      </c>
      <c r="C209" s="473" t="str">
        <f t="shared" si="5"/>
        <v>366</v>
      </c>
      <c r="D209" s="474">
        <v>366</v>
      </c>
      <c r="E209" s="173" t="s">
        <v>335</v>
      </c>
      <c r="F209" s="173" t="s">
        <v>2</v>
      </c>
      <c r="G209" s="173">
        <v>20</v>
      </c>
      <c r="H209" s="173" t="s">
        <v>3</v>
      </c>
      <c r="I209" s="372" t="s">
        <v>670</v>
      </c>
      <c r="J209" s="476"/>
      <c r="K209" s="476"/>
      <c r="L209" s="476"/>
      <c r="M209" s="173">
        <v>1</v>
      </c>
      <c r="N209" s="478">
        <v>1</v>
      </c>
      <c r="O209" s="173"/>
      <c r="P209" s="454"/>
      <c r="Q209" s="173"/>
      <c r="R209" s="477">
        <f t="shared" si="4"/>
        <v>1</v>
      </c>
      <c r="S209" s="475"/>
      <c r="T209" s="477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4.4">
      <c r="A210" s="481">
        <v>169</v>
      </c>
      <c r="B210" s="173" t="s">
        <v>162</v>
      </c>
      <c r="C210" s="473" t="str">
        <f t="shared" si="5"/>
        <v>366</v>
      </c>
      <c r="D210" s="474">
        <v>366</v>
      </c>
      <c r="E210" s="173" t="s">
        <v>336</v>
      </c>
      <c r="F210" s="173" t="s">
        <v>2</v>
      </c>
      <c r="G210" s="173">
        <v>21</v>
      </c>
      <c r="H210" s="173" t="s">
        <v>3</v>
      </c>
      <c r="I210" s="372" t="s">
        <v>671</v>
      </c>
      <c r="J210" s="476"/>
      <c r="K210" s="476"/>
      <c r="L210" s="476"/>
      <c r="M210" s="173">
        <v>1</v>
      </c>
      <c r="N210" s="478">
        <v>1</v>
      </c>
      <c r="O210" s="173"/>
      <c r="P210" s="454"/>
      <c r="Q210" s="173">
        <v>0</v>
      </c>
      <c r="R210" s="477">
        <f t="shared" si="4"/>
        <v>1</v>
      </c>
      <c r="S210" s="475"/>
      <c r="T210" s="477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4.4">
      <c r="A211" s="481">
        <v>170</v>
      </c>
      <c r="B211" s="173" t="s">
        <v>158</v>
      </c>
      <c r="C211" s="473" t="str">
        <f t="shared" si="5"/>
        <v>366</v>
      </c>
      <c r="D211" s="474">
        <v>366</v>
      </c>
      <c r="E211" s="173" t="s">
        <v>337</v>
      </c>
      <c r="F211" s="173" t="s">
        <v>2</v>
      </c>
      <c r="G211" s="173">
        <v>20</v>
      </c>
      <c r="H211" s="173" t="s">
        <v>3</v>
      </c>
      <c r="I211" s="372" t="s">
        <v>672</v>
      </c>
      <c r="J211" s="476"/>
      <c r="K211" s="476"/>
      <c r="L211" s="476"/>
      <c r="M211" s="173">
        <v>1</v>
      </c>
      <c r="N211" s="478">
        <v>1</v>
      </c>
      <c r="O211" s="173">
        <v>1</v>
      </c>
      <c r="P211" s="454"/>
      <c r="Q211" s="173"/>
      <c r="R211" s="477">
        <f t="shared" si="4"/>
        <v>1</v>
      </c>
      <c r="S211" s="475"/>
      <c r="T211" s="477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4.4">
      <c r="A212" s="481">
        <v>171</v>
      </c>
      <c r="B212" s="173" t="s">
        <v>162</v>
      </c>
      <c r="C212" s="473" t="str">
        <f t="shared" si="5"/>
        <v>366</v>
      </c>
      <c r="D212" s="474">
        <v>366</v>
      </c>
      <c r="E212" s="173" t="s">
        <v>338</v>
      </c>
      <c r="F212" s="173" t="s">
        <v>2</v>
      </c>
      <c r="G212" s="173">
        <v>18</v>
      </c>
      <c r="H212" s="173" t="s">
        <v>3</v>
      </c>
      <c r="I212" s="372" t="s">
        <v>673</v>
      </c>
      <c r="J212" s="476"/>
      <c r="K212" s="476"/>
      <c r="L212" s="476"/>
      <c r="M212" s="173">
        <v>1</v>
      </c>
      <c r="N212" s="478">
        <v>1</v>
      </c>
      <c r="O212" s="173">
        <v>1</v>
      </c>
      <c r="P212" s="454"/>
      <c r="Q212" s="173"/>
      <c r="R212" s="477">
        <f t="shared" si="4"/>
        <v>1</v>
      </c>
      <c r="S212" s="475"/>
      <c r="T212" s="477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4.4">
      <c r="A213" s="481">
        <v>172</v>
      </c>
      <c r="B213" s="173" t="s">
        <v>163</v>
      </c>
      <c r="C213" s="473" t="str">
        <f t="shared" si="5"/>
        <v>366</v>
      </c>
      <c r="D213" s="474">
        <v>366</v>
      </c>
      <c r="E213" s="173" t="s">
        <v>339</v>
      </c>
      <c r="F213" s="173" t="s">
        <v>2</v>
      </c>
      <c r="G213" s="173">
        <v>19</v>
      </c>
      <c r="H213" s="173" t="s">
        <v>3</v>
      </c>
      <c r="I213" s="372" t="s">
        <v>674</v>
      </c>
      <c r="J213" s="476"/>
      <c r="K213" s="476"/>
      <c r="L213" s="476"/>
      <c r="M213" s="173">
        <v>1</v>
      </c>
      <c r="N213" s="478">
        <v>0</v>
      </c>
      <c r="O213" s="173">
        <v>1</v>
      </c>
      <c r="P213" s="454"/>
      <c r="Q213" s="173"/>
      <c r="R213" s="477">
        <f t="shared" si="4"/>
        <v>1</v>
      </c>
      <c r="S213" s="475"/>
      <c r="T213" s="477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4.4">
      <c r="A214" s="481">
        <v>173</v>
      </c>
      <c r="B214" s="173" t="s">
        <v>163</v>
      </c>
      <c r="C214" s="473" t="str">
        <f t="shared" si="5"/>
        <v>366</v>
      </c>
      <c r="D214" s="474">
        <v>366</v>
      </c>
      <c r="E214" s="173" t="s">
        <v>340</v>
      </c>
      <c r="F214" s="173" t="s">
        <v>2</v>
      </c>
      <c r="G214" s="173">
        <v>22</v>
      </c>
      <c r="H214" s="173" t="s">
        <v>3</v>
      </c>
      <c r="I214" s="372" t="s">
        <v>675</v>
      </c>
      <c r="J214" s="476"/>
      <c r="K214" s="476"/>
      <c r="L214" s="476"/>
      <c r="M214" s="173">
        <v>1</v>
      </c>
      <c r="N214" s="478">
        <v>0</v>
      </c>
      <c r="O214" s="173">
        <v>1</v>
      </c>
      <c r="P214" s="454"/>
      <c r="Q214" s="173"/>
      <c r="R214" s="477">
        <f t="shared" si="4"/>
        <v>1</v>
      </c>
      <c r="S214" s="475"/>
      <c r="T214" s="477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4.4">
      <c r="A215" s="481">
        <v>174</v>
      </c>
      <c r="B215" s="173" t="s">
        <v>163</v>
      </c>
      <c r="C215" s="473" t="str">
        <f t="shared" si="5"/>
        <v>366</v>
      </c>
      <c r="D215" s="474">
        <v>366</v>
      </c>
      <c r="E215" s="173" t="s">
        <v>341</v>
      </c>
      <c r="F215" s="173" t="s">
        <v>2</v>
      </c>
      <c r="G215" s="173">
        <v>21</v>
      </c>
      <c r="H215" s="173" t="s">
        <v>3</v>
      </c>
      <c r="I215" s="372" t="s">
        <v>676</v>
      </c>
      <c r="J215" s="476"/>
      <c r="K215" s="476"/>
      <c r="L215" s="476"/>
      <c r="M215" s="173">
        <v>1</v>
      </c>
      <c r="N215" s="478">
        <v>0</v>
      </c>
      <c r="O215" s="173"/>
      <c r="P215" s="454">
        <v>1</v>
      </c>
      <c r="Q215" s="173"/>
      <c r="R215" s="477">
        <f t="shared" si="4"/>
        <v>1</v>
      </c>
      <c r="S215" s="475"/>
      <c r="T215" s="477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4.4">
      <c r="A216" s="481">
        <v>175</v>
      </c>
      <c r="B216" s="173" t="s">
        <v>163</v>
      </c>
      <c r="C216" s="473" t="str">
        <f t="shared" si="5"/>
        <v>366</v>
      </c>
      <c r="D216" s="474">
        <v>366</v>
      </c>
      <c r="E216" s="173" t="s">
        <v>342</v>
      </c>
      <c r="F216" s="173" t="s">
        <v>2</v>
      </c>
      <c r="G216" s="173">
        <v>20</v>
      </c>
      <c r="H216" s="173" t="s">
        <v>5</v>
      </c>
      <c r="I216" s="372"/>
      <c r="J216" s="476"/>
      <c r="K216" s="476"/>
      <c r="L216" s="476"/>
      <c r="M216" s="173">
        <v>0</v>
      </c>
      <c r="N216" s="478">
        <v>1</v>
      </c>
      <c r="O216" s="173">
        <v>1</v>
      </c>
      <c r="P216" s="454"/>
      <c r="Q216" s="173">
        <v>0</v>
      </c>
      <c r="R216" s="477">
        <f t="shared" si="4"/>
        <v>1</v>
      </c>
      <c r="S216" s="475"/>
      <c r="T216" s="477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4.4">
      <c r="A217" s="481">
        <v>176</v>
      </c>
      <c r="B217" s="173" t="s">
        <v>163</v>
      </c>
      <c r="C217" s="473" t="str">
        <f t="shared" si="5"/>
        <v>366</v>
      </c>
      <c r="D217" s="474">
        <v>366</v>
      </c>
      <c r="E217" s="173" t="s">
        <v>343</v>
      </c>
      <c r="F217" s="173" t="s">
        <v>2</v>
      </c>
      <c r="G217" s="173">
        <v>18</v>
      </c>
      <c r="H217" s="173" t="s">
        <v>3</v>
      </c>
      <c r="I217" s="372" t="s">
        <v>677</v>
      </c>
      <c r="J217" s="476"/>
      <c r="K217" s="476"/>
      <c r="L217" s="476"/>
      <c r="M217" s="173">
        <v>1</v>
      </c>
      <c r="N217" s="478">
        <v>1</v>
      </c>
      <c r="O217" s="173"/>
      <c r="P217" s="454"/>
      <c r="Q217" s="173"/>
      <c r="R217" s="477">
        <f t="shared" si="4"/>
        <v>1</v>
      </c>
      <c r="S217" s="475"/>
      <c r="T217" s="477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4.4">
      <c r="A218" s="481">
        <v>177</v>
      </c>
      <c r="B218" s="173" t="s">
        <v>163</v>
      </c>
      <c r="C218" s="473" t="str">
        <f t="shared" si="5"/>
        <v>366</v>
      </c>
      <c r="D218" s="474">
        <v>366</v>
      </c>
      <c r="E218" s="173" t="s">
        <v>344</v>
      </c>
      <c r="F218" s="173" t="s">
        <v>2</v>
      </c>
      <c r="G218" s="173">
        <v>21</v>
      </c>
      <c r="H218" s="173" t="s">
        <v>3</v>
      </c>
      <c r="I218" s="372" t="s">
        <v>153</v>
      </c>
      <c r="J218" s="476"/>
      <c r="K218" s="476"/>
      <c r="L218" s="476"/>
      <c r="M218" s="173">
        <v>1</v>
      </c>
      <c r="N218" s="478">
        <v>1</v>
      </c>
      <c r="O218" s="173">
        <v>1</v>
      </c>
      <c r="P218" s="454"/>
      <c r="Q218" s="173"/>
      <c r="R218" s="477">
        <f t="shared" si="4"/>
        <v>1</v>
      </c>
      <c r="S218" s="475"/>
      <c r="T218" s="477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4.4">
      <c r="A219" s="481">
        <v>178</v>
      </c>
      <c r="B219" s="173" t="s">
        <v>162</v>
      </c>
      <c r="C219" s="473" t="str">
        <f t="shared" si="5"/>
        <v>366</v>
      </c>
      <c r="D219" s="474">
        <v>366</v>
      </c>
      <c r="E219" s="173" t="s">
        <v>345</v>
      </c>
      <c r="F219" s="173" t="s">
        <v>2</v>
      </c>
      <c r="G219" s="173">
        <v>18</v>
      </c>
      <c r="H219" s="173" t="s">
        <v>3</v>
      </c>
      <c r="I219" s="372" t="s">
        <v>153</v>
      </c>
      <c r="J219" s="476"/>
      <c r="K219" s="476"/>
      <c r="L219" s="476"/>
      <c r="M219" s="173">
        <v>1</v>
      </c>
      <c r="N219" s="478">
        <v>0</v>
      </c>
      <c r="O219" s="173">
        <v>1</v>
      </c>
      <c r="P219" s="454"/>
      <c r="Q219" s="173"/>
      <c r="R219" s="477">
        <f t="shared" si="4"/>
        <v>1</v>
      </c>
      <c r="S219" s="475"/>
      <c r="T219" s="477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4.4">
      <c r="A220" s="481">
        <v>179</v>
      </c>
      <c r="B220" s="173" t="s">
        <v>164</v>
      </c>
      <c r="C220" s="473" t="str">
        <f t="shared" si="5"/>
        <v>366</v>
      </c>
      <c r="D220" s="474">
        <v>366</v>
      </c>
      <c r="E220" s="173" t="s">
        <v>346</v>
      </c>
      <c r="F220" s="173" t="s">
        <v>2</v>
      </c>
      <c r="G220" s="173">
        <v>24</v>
      </c>
      <c r="H220" s="173" t="s">
        <v>3</v>
      </c>
      <c r="I220" s="372" t="s">
        <v>678</v>
      </c>
      <c r="J220" s="476"/>
      <c r="K220" s="476"/>
      <c r="L220" s="476"/>
      <c r="M220" s="173">
        <v>1</v>
      </c>
      <c r="N220" s="478">
        <v>0</v>
      </c>
      <c r="O220" s="173"/>
      <c r="P220" s="454">
        <v>1</v>
      </c>
      <c r="Q220" s="173"/>
      <c r="R220" s="477">
        <f t="shared" si="4"/>
        <v>1</v>
      </c>
      <c r="S220" s="475"/>
      <c r="T220" s="477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4.4">
      <c r="A221" s="481">
        <v>180</v>
      </c>
      <c r="B221" s="173" t="s">
        <v>164</v>
      </c>
      <c r="C221" s="473" t="str">
        <f t="shared" si="5"/>
        <v>366</v>
      </c>
      <c r="D221" s="474">
        <v>366</v>
      </c>
      <c r="E221" s="173" t="s">
        <v>347</v>
      </c>
      <c r="F221" s="173" t="s">
        <v>2</v>
      </c>
      <c r="G221" s="173">
        <v>20</v>
      </c>
      <c r="H221" s="173" t="s">
        <v>3</v>
      </c>
      <c r="I221" s="372" t="s">
        <v>560</v>
      </c>
      <c r="J221" s="476"/>
      <c r="K221" s="476"/>
      <c r="L221" s="476"/>
      <c r="M221" s="173">
        <v>1</v>
      </c>
      <c r="N221" s="478">
        <v>0</v>
      </c>
      <c r="O221" s="173">
        <v>1</v>
      </c>
      <c r="P221" s="454"/>
      <c r="Q221" s="173"/>
      <c r="R221" s="477">
        <f t="shared" si="4"/>
        <v>1</v>
      </c>
      <c r="S221" s="475"/>
      <c r="T221" s="477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4.4">
      <c r="A222" s="481">
        <v>181</v>
      </c>
      <c r="B222" s="173" t="s">
        <v>158</v>
      </c>
      <c r="C222" s="473" t="str">
        <f t="shared" si="5"/>
        <v>366</v>
      </c>
      <c r="D222" s="474">
        <v>366</v>
      </c>
      <c r="E222" s="173" t="s">
        <v>348</v>
      </c>
      <c r="F222" s="173" t="s">
        <v>2</v>
      </c>
      <c r="G222" s="173">
        <v>25</v>
      </c>
      <c r="H222" s="173" t="s">
        <v>3</v>
      </c>
      <c r="I222" s="372" t="s">
        <v>679</v>
      </c>
      <c r="J222" s="476"/>
      <c r="K222" s="476"/>
      <c r="L222" s="476"/>
      <c r="M222" s="173">
        <v>1</v>
      </c>
      <c r="N222" s="478">
        <v>1</v>
      </c>
      <c r="O222" s="173"/>
      <c r="P222" s="454"/>
      <c r="Q222" s="173"/>
      <c r="R222" s="477">
        <f t="shared" si="4"/>
        <v>1</v>
      </c>
      <c r="S222" s="475"/>
      <c r="T222" s="477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4.4">
      <c r="A223" s="481">
        <v>182</v>
      </c>
      <c r="B223" s="173" t="s">
        <v>162</v>
      </c>
      <c r="C223" s="473" t="str">
        <f t="shared" si="5"/>
        <v>366</v>
      </c>
      <c r="D223" s="474">
        <v>366</v>
      </c>
      <c r="E223" s="173" t="s">
        <v>349</v>
      </c>
      <c r="F223" s="173" t="s">
        <v>2</v>
      </c>
      <c r="G223" s="173">
        <v>22</v>
      </c>
      <c r="H223" s="173" t="s">
        <v>3</v>
      </c>
      <c r="I223" s="372" t="s">
        <v>680</v>
      </c>
      <c r="J223" s="476"/>
      <c r="K223" s="476"/>
      <c r="L223" s="476"/>
      <c r="M223" s="173">
        <v>1</v>
      </c>
      <c r="N223" s="478">
        <v>1</v>
      </c>
      <c r="O223" s="173"/>
      <c r="P223" s="454"/>
      <c r="Q223" s="173"/>
      <c r="R223" s="477">
        <f t="shared" si="4"/>
        <v>1</v>
      </c>
      <c r="S223" s="475"/>
      <c r="T223" s="477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4.4">
      <c r="A224" s="481">
        <v>183</v>
      </c>
      <c r="B224" s="173" t="s">
        <v>158</v>
      </c>
      <c r="C224" s="473" t="str">
        <f t="shared" si="5"/>
        <v>366</v>
      </c>
      <c r="D224" s="474">
        <v>366</v>
      </c>
      <c r="E224" s="173" t="s">
        <v>350</v>
      </c>
      <c r="F224" s="173" t="s">
        <v>2</v>
      </c>
      <c r="G224" s="173">
        <v>19</v>
      </c>
      <c r="H224" s="173" t="s">
        <v>3</v>
      </c>
      <c r="I224" s="372"/>
      <c r="J224" s="476"/>
      <c r="K224" s="476"/>
      <c r="L224" s="476"/>
      <c r="M224" s="173">
        <v>1</v>
      </c>
      <c r="N224" s="478">
        <v>1</v>
      </c>
      <c r="O224" s="173"/>
      <c r="P224" s="454"/>
      <c r="Q224" s="173"/>
      <c r="R224" s="477">
        <f t="shared" si="4"/>
        <v>1</v>
      </c>
      <c r="S224" s="475"/>
      <c r="T224" s="477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41.4">
      <c r="A225" s="481">
        <v>184</v>
      </c>
      <c r="B225" s="173" t="s">
        <v>165</v>
      </c>
      <c r="C225" s="473" t="str">
        <f t="shared" si="5"/>
        <v>366</v>
      </c>
      <c r="D225" s="474">
        <v>366</v>
      </c>
      <c r="E225" s="173" t="s">
        <v>351</v>
      </c>
      <c r="F225" s="173" t="s">
        <v>2</v>
      </c>
      <c r="G225" s="173">
        <v>19</v>
      </c>
      <c r="H225" s="173" t="s">
        <v>3</v>
      </c>
      <c r="I225" s="372" t="s">
        <v>681</v>
      </c>
      <c r="J225" s="476"/>
      <c r="K225" s="476"/>
      <c r="L225" s="476"/>
      <c r="M225" s="173">
        <v>1</v>
      </c>
      <c r="N225" s="478"/>
      <c r="O225" s="173"/>
      <c r="P225" s="454"/>
      <c r="Q225" s="173"/>
      <c r="R225" s="477">
        <f t="shared" si="4"/>
        <v>1</v>
      </c>
      <c r="S225" s="475"/>
      <c r="T225" s="477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27.6">
      <c r="A226" s="481">
        <v>185</v>
      </c>
      <c r="B226" s="173" t="s">
        <v>165</v>
      </c>
      <c r="C226" s="473" t="str">
        <f t="shared" si="5"/>
        <v>366</v>
      </c>
      <c r="D226" s="474">
        <v>366</v>
      </c>
      <c r="E226" s="173" t="s">
        <v>352</v>
      </c>
      <c r="F226" s="173" t="s">
        <v>2</v>
      </c>
      <c r="G226" s="173">
        <v>19</v>
      </c>
      <c r="H226" s="173" t="s">
        <v>3</v>
      </c>
      <c r="I226" s="372" t="s">
        <v>682</v>
      </c>
      <c r="J226" s="476"/>
      <c r="K226" s="476"/>
      <c r="L226" s="476"/>
      <c r="M226" s="173">
        <v>1</v>
      </c>
      <c r="N226" s="478">
        <v>1</v>
      </c>
      <c r="O226" s="173"/>
      <c r="P226" s="454"/>
      <c r="Q226" s="173">
        <v>0</v>
      </c>
      <c r="R226" s="477">
        <f t="shared" si="4"/>
        <v>1</v>
      </c>
      <c r="S226" s="475"/>
      <c r="T226" s="477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27.6">
      <c r="A227" s="481">
        <v>186</v>
      </c>
      <c r="B227" s="173" t="s">
        <v>165</v>
      </c>
      <c r="C227" s="473" t="str">
        <f t="shared" si="5"/>
        <v>366</v>
      </c>
      <c r="D227" s="474">
        <v>366</v>
      </c>
      <c r="E227" s="173" t="s">
        <v>353</v>
      </c>
      <c r="F227" s="173" t="s">
        <v>2</v>
      </c>
      <c r="G227" s="173">
        <v>19</v>
      </c>
      <c r="H227" s="173" t="s">
        <v>3</v>
      </c>
      <c r="I227" s="372" t="s">
        <v>683</v>
      </c>
      <c r="J227" s="476"/>
      <c r="K227" s="476"/>
      <c r="L227" s="476"/>
      <c r="M227" s="173">
        <v>1</v>
      </c>
      <c r="N227" s="478"/>
      <c r="O227" s="173"/>
      <c r="P227" s="454">
        <v>1</v>
      </c>
      <c r="Q227" s="173">
        <v>0</v>
      </c>
      <c r="R227" s="477">
        <f t="shared" si="4"/>
        <v>1</v>
      </c>
      <c r="S227" s="475"/>
      <c r="T227" s="477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27.6">
      <c r="A228" s="481">
        <v>187</v>
      </c>
      <c r="B228" s="173" t="s">
        <v>165</v>
      </c>
      <c r="C228" s="473" t="str">
        <f t="shared" si="5"/>
        <v>366</v>
      </c>
      <c r="D228" s="474">
        <v>366</v>
      </c>
      <c r="E228" s="173" t="s">
        <v>354</v>
      </c>
      <c r="F228" s="173" t="s">
        <v>2</v>
      </c>
      <c r="G228" s="173">
        <v>20</v>
      </c>
      <c r="H228" s="173" t="s">
        <v>3</v>
      </c>
      <c r="I228" s="372" t="s">
        <v>684</v>
      </c>
      <c r="J228" s="476"/>
      <c r="K228" s="476"/>
      <c r="L228" s="476"/>
      <c r="M228" s="173">
        <v>1</v>
      </c>
      <c r="N228" s="478">
        <v>1</v>
      </c>
      <c r="O228" s="173"/>
      <c r="P228" s="454"/>
      <c r="Q228" s="173"/>
      <c r="R228" s="477">
        <f t="shared" si="4"/>
        <v>1</v>
      </c>
      <c r="S228" s="475"/>
      <c r="T228" s="477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4.4">
      <c r="A229" s="481">
        <v>188</v>
      </c>
      <c r="B229" s="173" t="s">
        <v>164</v>
      </c>
      <c r="C229" s="473" t="str">
        <f t="shared" si="5"/>
        <v>366</v>
      </c>
      <c r="D229" s="474">
        <v>366</v>
      </c>
      <c r="E229" s="173" t="s">
        <v>355</v>
      </c>
      <c r="F229" s="173" t="s">
        <v>2</v>
      </c>
      <c r="G229" s="173">
        <v>20</v>
      </c>
      <c r="H229" s="173" t="s">
        <v>3</v>
      </c>
      <c r="I229" s="372"/>
      <c r="J229" s="476"/>
      <c r="K229" s="476"/>
      <c r="L229" s="476"/>
      <c r="M229" s="173">
        <v>1</v>
      </c>
      <c r="N229" s="478"/>
      <c r="O229" s="173"/>
      <c r="P229" s="454"/>
      <c r="Q229" s="173"/>
      <c r="R229" s="477">
        <f t="shared" si="4"/>
        <v>1</v>
      </c>
      <c r="S229" s="475"/>
      <c r="T229" s="477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4.4">
      <c r="A230" s="481">
        <v>189</v>
      </c>
      <c r="B230" s="173" t="s">
        <v>164</v>
      </c>
      <c r="C230" s="473" t="str">
        <f t="shared" si="5"/>
        <v>366</v>
      </c>
      <c r="D230" s="474">
        <v>366</v>
      </c>
      <c r="E230" s="173" t="s">
        <v>356</v>
      </c>
      <c r="F230" s="173" t="s">
        <v>2</v>
      </c>
      <c r="G230" s="173">
        <v>19</v>
      </c>
      <c r="H230" s="173" t="s">
        <v>3</v>
      </c>
      <c r="I230" s="372"/>
      <c r="J230" s="476"/>
      <c r="K230" s="476"/>
      <c r="L230" s="476"/>
      <c r="M230" s="173">
        <v>1</v>
      </c>
      <c r="N230" s="478"/>
      <c r="O230" s="173">
        <v>1</v>
      </c>
      <c r="P230" s="454">
        <v>1</v>
      </c>
      <c r="Q230" s="173">
        <v>0</v>
      </c>
      <c r="R230" s="477">
        <f t="shared" si="4"/>
        <v>1</v>
      </c>
      <c r="S230" s="475"/>
      <c r="T230" s="477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4.4">
      <c r="A231" s="481">
        <v>190</v>
      </c>
      <c r="B231" s="173" t="s">
        <v>164</v>
      </c>
      <c r="C231" s="473" t="str">
        <f t="shared" si="5"/>
        <v>366</v>
      </c>
      <c r="D231" s="474">
        <v>366</v>
      </c>
      <c r="E231" s="173" t="s">
        <v>357</v>
      </c>
      <c r="F231" s="173" t="s">
        <v>2</v>
      </c>
      <c r="G231" s="173">
        <v>20</v>
      </c>
      <c r="H231" s="173" t="s">
        <v>3</v>
      </c>
      <c r="I231" s="372"/>
      <c r="J231" s="476"/>
      <c r="K231" s="476"/>
      <c r="L231" s="476"/>
      <c r="M231" s="173">
        <v>1</v>
      </c>
      <c r="N231" s="478">
        <v>1</v>
      </c>
      <c r="O231" s="173"/>
      <c r="P231" s="454"/>
      <c r="Q231" s="173"/>
      <c r="R231" s="477">
        <f t="shared" si="4"/>
        <v>1</v>
      </c>
      <c r="S231" s="475"/>
      <c r="T231" s="477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27.6">
      <c r="A232" s="481">
        <v>191</v>
      </c>
      <c r="B232" s="173" t="s">
        <v>159</v>
      </c>
      <c r="C232" s="473" t="str">
        <f t="shared" si="5"/>
        <v>366</v>
      </c>
      <c r="D232" s="474">
        <v>366</v>
      </c>
      <c r="E232" s="173" t="s">
        <v>358</v>
      </c>
      <c r="F232" s="173" t="s">
        <v>2</v>
      </c>
      <c r="G232" s="173">
        <v>19</v>
      </c>
      <c r="H232" s="173" t="s">
        <v>3</v>
      </c>
      <c r="I232" s="372" t="s">
        <v>685</v>
      </c>
      <c r="J232" s="476"/>
      <c r="K232" s="476"/>
      <c r="L232" s="476"/>
      <c r="M232" s="173">
        <v>1</v>
      </c>
      <c r="N232" s="478">
        <v>1</v>
      </c>
      <c r="O232" s="173"/>
      <c r="P232" s="454"/>
      <c r="Q232" s="173"/>
      <c r="R232" s="477">
        <f t="shared" si="4"/>
        <v>1</v>
      </c>
      <c r="S232" s="475"/>
      <c r="T232" s="477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27.6">
      <c r="A233" s="481">
        <v>192</v>
      </c>
      <c r="B233" s="173" t="s">
        <v>159</v>
      </c>
      <c r="C233" s="473" t="str">
        <f t="shared" si="5"/>
        <v>366</v>
      </c>
      <c r="D233" s="474">
        <v>366</v>
      </c>
      <c r="E233" s="173" t="s">
        <v>359</v>
      </c>
      <c r="F233" s="173" t="s">
        <v>2</v>
      </c>
      <c r="G233" s="173">
        <v>18</v>
      </c>
      <c r="H233" s="173" t="s">
        <v>3</v>
      </c>
      <c r="I233" s="372" t="s">
        <v>686</v>
      </c>
      <c r="J233" s="476"/>
      <c r="K233" s="476"/>
      <c r="L233" s="476"/>
      <c r="M233" s="173">
        <v>1</v>
      </c>
      <c r="N233" s="478">
        <v>1</v>
      </c>
      <c r="O233" s="173"/>
      <c r="P233" s="454"/>
      <c r="Q233" s="173">
        <v>0</v>
      </c>
      <c r="R233" s="477">
        <f t="shared" si="4"/>
        <v>1</v>
      </c>
      <c r="S233" s="475"/>
      <c r="T233" s="477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4.4">
      <c r="A234" s="481">
        <v>193</v>
      </c>
      <c r="B234" s="173" t="s">
        <v>159</v>
      </c>
      <c r="C234" s="473" t="str">
        <f t="shared" si="5"/>
        <v>366</v>
      </c>
      <c r="D234" s="474">
        <v>366</v>
      </c>
      <c r="E234" s="173" t="s">
        <v>360</v>
      </c>
      <c r="F234" s="173" t="s">
        <v>2</v>
      </c>
      <c r="G234" s="173">
        <v>19</v>
      </c>
      <c r="H234" s="173" t="s">
        <v>3</v>
      </c>
      <c r="I234" s="372" t="s">
        <v>687</v>
      </c>
      <c r="J234" s="476"/>
      <c r="K234" s="476"/>
      <c r="L234" s="476"/>
      <c r="M234" s="173">
        <v>1</v>
      </c>
      <c r="N234" s="478"/>
      <c r="O234" s="173"/>
      <c r="P234" s="454"/>
      <c r="Q234" s="173"/>
      <c r="R234" s="477">
        <f t="shared" ref="R234:R297" si="6">IF(OR(M234=1,N234=1,O234=1,P234=1,Q234=1),1,0)</f>
        <v>1</v>
      </c>
      <c r="S234" s="475"/>
      <c r="T234" s="477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27.6">
      <c r="A235" s="481">
        <v>194</v>
      </c>
      <c r="B235" s="173" t="s">
        <v>159</v>
      </c>
      <c r="C235" s="473" t="str">
        <f t="shared" ref="C235:C298" si="7">LEFT(D235,3)</f>
        <v>366</v>
      </c>
      <c r="D235" s="474">
        <v>366</v>
      </c>
      <c r="E235" s="173" t="s">
        <v>361</v>
      </c>
      <c r="F235" s="173" t="s">
        <v>2</v>
      </c>
      <c r="G235" s="173">
        <v>19</v>
      </c>
      <c r="H235" s="173" t="s">
        <v>3</v>
      </c>
      <c r="I235" s="372" t="s">
        <v>688</v>
      </c>
      <c r="J235" s="476"/>
      <c r="K235" s="476"/>
      <c r="L235" s="476"/>
      <c r="M235" s="173">
        <v>1</v>
      </c>
      <c r="N235" s="478"/>
      <c r="O235" s="173">
        <v>0</v>
      </c>
      <c r="P235" s="454"/>
      <c r="Q235" s="173"/>
      <c r="R235" s="477">
        <f t="shared" si="6"/>
        <v>1</v>
      </c>
      <c r="S235" s="475"/>
      <c r="T235" s="477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4.4">
      <c r="A236" s="481">
        <v>195</v>
      </c>
      <c r="B236" s="173" t="s">
        <v>159</v>
      </c>
      <c r="C236" s="473" t="str">
        <f t="shared" si="7"/>
        <v>366</v>
      </c>
      <c r="D236" s="474">
        <v>366</v>
      </c>
      <c r="E236" s="173" t="s">
        <v>362</v>
      </c>
      <c r="F236" s="173" t="s">
        <v>2</v>
      </c>
      <c r="G236" s="173">
        <v>19</v>
      </c>
      <c r="H236" s="173" t="s">
        <v>3</v>
      </c>
      <c r="I236" s="372" t="s">
        <v>689</v>
      </c>
      <c r="J236" s="476"/>
      <c r="K236" s="476"/>
      <c r="L236" s="476"/>
      <c r="M236" s="173">
        <v>1</v>
      </c>
      <c r="N236" s="478"/>
      <c r="O236" s="173"/>
      <c r="P236" s="454"/>
      <c r="Q236" s="173">
        <v>0</v>
      </c>
      <c r="R236" s="477">
        <f t="shared" si="6"/>
        <v>1</v>
      </c>
      <c r="S236" s="475"/>
      <c r="T236" s="477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4.4">
      <c r="A237" s="481">
        <v>196</v>
      </c>
      <c r="B237" s="173" t="s">
        <v>162</v>
      </c>
      <c r="C237" s="473" t="str">
        <f t="shared" si="7"/>
        <v>366</v>
      </c>
      <c r="D237" s="474">
        <v>366</v>
      </c>
      <c r="E237" s="173" t="s">
        <v>363</v>
      </c>
      <c r="F237" s="173" t="s">
        <v>2</v>
      </c>
      <c r="G237" s="173">
        <v>18</v>
      </c>
      <c r="H237" s="173" t="s">
        <v>3</v>
      </c>
      <c r="I237" s="372" t="s">
        <v>690</v>
      </c>
      <c r="J237" s="476"/>
      <c r="K237" s="476"/>
      <c r="L237" s="476"/>
      <c r="M237" s="173">
        <v>1</v>
      </c>
      <c r="N237" s="478"/>
      <c r="O237" s="173"/>
      <c r="P237" s="454"/>
      <c r="Q237" s="173"/>
      <c r="R237" s="477">
        <f t="shared" si="6"/>
        <v>1</v>
      </c>
      <c r="S237" s="475"/>
      <c r="T237" s="477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4.4">
      <c r="A238" s="481">
        <v>197</v>
      </c>
      <c r="B238" s="173" t="s">
        <v>162</v>
      </c>
      <c r="C238" s="473" t="str">
        <f t="shared" si="7"/>
        <v>366</v>
      </c>
      <c r="D238" s="474">
        <v>366</v>
      </c>
      <c r="E238" s="173" t="s">
        <v>364</v>
      </c>
      <c r="F238" s="173" t="s">
        <v>2</v>
      </c>
      <c r="G238" s="173">
        <v>20</v>
      </c>
      <c r="H238" s="173" t="s">
        <v>3</v>
      </c>
      <c r="I238" s="372" t="s">
        <v>691</v>
      </c>
      <c r="J238" s="476"/>
      <c r="K238" s="476"/>
      <c r="L238" s="476"/>
      <c r="M238" s="173">
        <v>1</v>
      </c>
      <c r="N238" s="478"/>
      <c r="O238" s="173"/>
      <c r="P238" s="454"/>
      <c r="Q238" s="173"/>
      <c r="R238" s="477">
        <f t="shared" si="6"/>
        <v>1</v>
      </c>
      <c r="S238" s="475"/>
      <c r="T238" s="477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4.4">
      <c r="A239" s="481">
        <v>198</v>
      </c>
      <c r="B239" s="173" t="s">
        <v>162</v>
      </c>
      <c r="C239" s="473" t="str">
        <f t="shared" si="7"/>
        <v>366</v>
      </c>
      <c r="D239" s="474">
        <v>366</v>
      </c>
      <c r="E239" s="173" t="s">
        <v>365</v>
      </c>
      <c r="F239" s="173" t="s">
        <v>2</v>
      </c>
      <c r="G239" s="173">
        <v>19</v>
      </c>
      <c r="H239" s="173" t="s">
        <v>3</v>
      </c>
      <c r="I239" s="372" t="s">
        <v>692</v>
      </c>
      <c r="J239" s="476"/>
      <c r="K239" s="476"/>
      <c r="L239" s="476"/>
      <c r="M239" s="173">
        <v>1</v>
      </c>
      <c r="N239" s="478"/>
      <c r="O239" s="173"/>
      <c r="P239" s="454"/>
      <c r="Q239" s="173"/>
      <c r="R239" s="477">
        <f t="shared" si="6"/>
        <v>1</v>
      </c>
      <c r="S239" s="475"/>
      <c r="T239" s="477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4.4">
      <c r="A240" s="481">
        <v>199</v>
      </c>
      <c r="B240" s="173" t="s">
        <v>163</v>
      </c>
      <c r="C240" s="473" t="str">
        <f t="shared" si="7"/>
        <v>366</v>
      </c>
      <c r="D240" s="474">
        <v>366</v>
      </c>
      <c r="E240" s="173" t="s">
        <v>366</v>
      </c>
      <c r="F240" s="173" t="s">
        <v>2</v>
      </c>
      <c r="G240" s="173">
        <v>20</v>
      </c>
      <c r="H240" s="173" t="s">
        <v>5</v>
      </c>
      <c r="I240" s="372" t="s">
        <v>693</v>
      </c>
      <c r="J240" s="476"/>
      <c r="K240" s="476"/>
      <c r="L240" s="476"/>
      <c r="M240" s="173">
        <v>0</v>
      </c>
      <c r="N240" s="478">
        <v>1</v>
      </c>
      <c r="O240" s="173"/>
      <c r="P240" s="454"/>
      <c r="Q240" s="173"/>
      <c r="R240" s="477">
        <f t="shared" si="6"/>
        <v>1</v>
      </c>
      <c r="S240" s="475"/>
      <c r="T240" s="477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4.4">
      <c r="A241" s="481">
        <v>200</v>
      </c>
      <c r="B241" s="173" t="s">
        <v>163</v>
      </c>
      <c r="C241" s="473" t="str">
        <f t="shared" si="7"/>
        <v>366</v>
      </c>
      <c r="D241" s="474">
        <v>366</v>
      </c>
      <c r="E241" s="173" t="s">
        <v>367</v>
      </c>
      <c r="F241" s="173" t="s">
        <v>2</v>
      </c>
      <c r="G241" s="173">
        <v>19</v>
      </c>
      <c r="H241" s="173" t="s">
        <v>5</v>
      </c>
      <c r="I241" s="372" t="s">
        <v>693</v>
      </c>
      <c r="J241" s="476"/>
      <c r="K241" s="476"/>
      <c r="L241" s="476"/>
      <c r="M241" s="173">
        <v>0</v>
      </c>
      <c r="N241" s="478"/>
      <c r="O241" s="173"/>
      <c r="P241" s="454"/>
      <c r="Q241" s="173"/>
      <c r="R241" s="477">
        <f t="shared" si="6"/>
        <v>0</v>
      </c>
      <c r="S241" s="475"/>
      <c r="T241" s="477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4.4">
      <c r="A242" s="481">
        <v>201</v>
      </c>
      <c r="B242" s="173" t="s">
        <v>163</v>
      </c>
      <c r="C242" s="473" t="str">
        <f t="shared" si="7"/>
        <v>366</v>
      </c>
      <c r="D242" s="474">
        <v>366</v>
      </c>
      <c r="E242" s="173" t="s">
        <v>368</v>
      </c>
      <c r="F242" s="173" t="s">
        <v>2</v>
      </c>
      <c r="G242" s="173">
        <v>17</v>
      </c>
      <c r="H242" s="173" t="s">
        <v>5</v>
      </c>
      <c r="I242" s="372" t="s">
        <v>693</v>
      </c>
      <c r="J242" s="476"/>
      <c r="K242" s="476"/>
      <c r="L242" s="476"/>
      <c r="M242" s="173">
        <v>0</v>
      </c>
      <c r="N242" s="478"/>
      <c r="O242" s="173"/>
      <c r="P242" s="454"/>
      <c r="Q242" s="173"/>
      <c r="R242" s="477">
        <f t="shared" si="6"/>
        <v>0</v>
      </c>
      <c r="S242" s="475"/>
      <c r="T242" s="477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4.4">
      <c r="A243" s="481">
        <v>202</v>
      </c>
      <c r="B243" s="173" t="s">
        <v>161</v>
      </c>
      <c r="C243" s="473" t="str">
        <f t="shared" si="7"/>
        <v>366</v>
      </c>
      <c r="D243" s="474">
        <v>366</v>
      </c>
      <c r="E243" s="173" t="s">
        <v>369</v>
      </c>
      <c r="F243" s="173" t="s">
        <v>2</v>
      </c>
      <c r="G243" s="173">
        <v>19</v>
      </c>
      <c r="H243" s="173" t="s">
        <v>5</v>
      </c>
      <c r="I243" s="372" t="s">
        <v>693</v>
      </c>
      <c r="J243" s="476"/>
      <c r="K243" s="476"/>
      <c r="L243" s="476"/>
      <c r="M243" s="173">
        <v>0</v>
      </c>
      <c r="N243" s="478"/>
      <c r="O243" s="173"/>
      <c r="P243" s="454"/>
      <c r="Q243" s="173"/>
      <c r="R243" s="477">
        <f t="shared" si="6"/>
        <v>0</v>
      </c>
      <c r="S243" s="475"/>
      <c r="T243" s="477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4.4">
      <c r="A244" s="481">
        <v>203</v>
      </c>
      <c r="B244" s="173" t="s">
        <v>163</v>
      </c>
      <c r="C244" s="473" t="str">
        <f t="shared" si="7"/>
        <v>366</v>
      </c>
      <c r="D244" s="474">
        <v>366</v>
      </c>
      <c r="E244" s="173" t="s">
        <v>370</v>
      </c>
      <c r="F244" s="173" t="s">
        <v>2</v>
      </c>
      <c r="G244" s="173">
        <v>20</v>
      </c>
      <c r="H244" s="173" t="s">
        <v>3</v>
      </c>
      <c r="I244" s="372" t="s">
        <v>153</v>
      </c>
      <c r="J244" s="476"/>
      <c r="K244" s="476"/>
      <c r="L244" s="476"/>
      <c r="M244" s="173">
        <v>1</v>
      </c>
      <c r="N244" s="478"/>
      <c r="O244" s="173"/>
      <c r="P244" s="454"/>
      <c r="Q244" s="173">
        <v>1</v>
      </c>
      <c r="R244" s="477">
        <f t="shared" si="6"/>
        <v>1</v>
      </c>
      <c r="S244" s="475"/>
      <c r="T244" s="477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4.4">
      <c r="A245" s="481">
        <v>204</v>
      </c>
      <c r="B245" s="173" t="s">
        <v>161</v>
      </c>
      <c r="C245" s="473" t="str">
        <f t="shared" si="7"/>
        <v>366</v>
      </c>
      <c r="D245" s="474">
        <v>366</v>
      </c>
      <c r="E245" s="173" t="s">
        <v>371</v>
      </c>
      <c r="F245" s="173" t="s">
        <v>2</v>
      </c>
      <c r="G245" s="173">
        <v>22</v>
      </c>
      <c r="H245" s="173" t="s">
        <v>3</v>
      </c>
      <c r="I245" s="372" t="s">
        <v>693</v>
      </c>
      <c r="J245" s="476"/>
      <c r="K245" s="476"/>
      <c r="L245" s="476"/>
      <c r="M245" s="173">
        <v>1</v>
      </c>
      <c r="N245" s="478"/>
      <c r="O245" s="173"/>
      <c r="P245" s="454"/>
      <c r="Q245" s="173"/>
      <c r="R245" s="477">
        <f t="shared" si="6"/>
        <v>1</v>
      </c>
      <c r="S245" s="475"/>
      <c r="T245" s="477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4.4">
      <c r="A246" s="481">
        <v>205</v>
      </c>
      <c r="B246" s="173" t="s">
        <v>161</v>
      </c>
      <c r="C246" s="473" t="str">
        <f t="shared" si="7"/>
        <v>366</v>
      </c>
      <c r="D246" s="474">
        <v>366</v>
      </c>
      <c r="E246" s="173" t="s">
        <v>372</v>
      </c>
      <c r="F246" s="173" t="s">
        <v>2</v>
      </c>
      <c r="G246" s="173">
        <v>19</v>
      </c>
      <c r="H246" s="173" t="s">
        <v>3</v>
      </c>
      <c r="I246" s="372" t="s">
        <v>693</v>
      </c>
      <c r="J246" s="476"/>
      <c r="K246" s="476"/>
      <c r="L246" s="476"/>
      <c r="M246" s="173">
        <v>1</v>
      </c>
      <c r="N246" s="478"/>
      <c r="O246" s="173"/>
      <c r="P246" s="454"/>
      <c r="Q246" s="173"/>
      <c r="R246" s="477">
        <f t="shared" si="6"/>
        <v>1</v>
      </c>
      <c r="S246" s="475"/>
      <c r="T246" s="477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4.4">
      <c r="A247" s="481">
        <v>206</v>
      </c>
      <c r="B247" s="173" t="s">
        <v>161</v>
      </c>
      <c r="C247" s="473" t="str">
        <f t="shared" si="7"/>
        <v>366</v>
      </c>
      <c r="D247" s="474">
        <v>366</v>
      </c>
      <c r="E247" s="173" t="s">
        <v>373</v>
      </c>
      <c r="F247" s="173" t="s">
        <v>2</v>
      </c>
      <c r="G247" s="173">
        <v>19</v>
      </c>
      <c r="H247" s="173" t="s">
        <v>5</v>
      </c>
      <c r="I247" s="372" t="s">
        <v>693</v>
      </c>
      <c r="J247" s="476"/>
      <c r="K247" s="476"/>
      <c r="L247" s="476"/>
      <c r="M247" s="173">
        <v>0</v>
      </c>
      <c r="N247" s="478"/>
      <c r="O247" s="173"/>
      <c r="P247" s="454"/>
      <c r="Q247" s="173"/>
      <c r="R247" s="477">
        <f t="shared" si="6"/>
        <v>0</v>
      </c>
      <c r="S247" s="475"/>
      <c r="T247" s="477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4.4">
      <c r="A248" s="481">
        <v>207</v>
      </c>
      <c r="B248" s="173" t="s">
        <v>160</v>
      </c>
      <c r="C248" s="473" t="str">
        <f t="shared" si="7"/>
        <v>366</v>
      </c>
      <c r="D248" s="474">
        <v>366</v>
      </c>
      <c r="E248" s="173" t="s">
        <v>374</v>
      </c>
      <c r="F248" s="173" t="s">
        <v>2</v>
      </c>
      <c r="G248" s="173">
        <v>22</v>
      </c>
      <c r="H248" s="173" t="s">
        <v>3</v>
      </c>
      <c r="I248" s="372" t="s">
        <v>693</v>
      </c>
      <c r="J248" s="476"/>
      <c r="K248" s="476"/>
      <c r="L248" s="476"/>
      <c r="M248" s="173">
        <v>1</v>
      </c>
      <c r="N248" s="478">
        <v>1</v>
      </c>
      <c r="O248" s="173"/>
      <c r="P248" s="454"/>
      <c r="Q248" s="173">
        <v>0</v>
      </c>
      <c r="R248" s="477">
        <f t="shared" si="6"/>
        <v>1</v>
      </c>
      <c r="S248" s="475"/>
      <c r="T248" s="477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4.4">
      <c r="A249" s="481">
        <v>208</v>
      </c>
      <c r="B249" s="173" t="s">
        <v>160</v>
      </c>
      <c r="C249" s="473" t="str">
        <f t="shared" si="7"/>
        <v>366</v>
      </c>
      <c r="D249" s="474">
        <v>366</v>
      </c>
      <c r="E249" s="173" t="s">
        <v>375</v>
      </c>
      <c r="F249" s="173" t="s">
        <v>2</v>
      </c>
      <c r="G249" s="173">
        <v>20</v>
      </c>
      <c r="H249" s="173" t="s">
        <v>3</v>
      </c>
      <c r="I249" s="372" t="s">
        <v>693</v>
      </c>
      <c r="J249" s="476"/>
      <c r="K249" s="476"/>
      <c r="L249" s="476"/>
      <c r="M249" s="173">
        <v>1</v>
      </c>
      <c r="N249" s="478">
        <v>1</v>
      </c>
      <c r="O249" s="173"/>
      <c r="P249" s="454"/>
      <c r="Q249" s="173"/>
      <c r="R249" s="477">
        <f t="shared" si="6"/>
        <v>1</v>
      </c>
      <c r="S249" s="475"/>
      <c r="T249" s="477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4.4">
      <c r="A250" s="481">
        <v>209</v>
      </c>
      <c r="B250" s="173" t="s">
        <v>158</v>
      </c>
      <c r="C250" s="473" t="str">
        <f t="shared" si="7"/>
        <v>366</v>
      </c>
      <c r="D250" s="474">
        <v>366</v>
      </c>
      <c r="E250" s="173" t="s">
        <v>376</v>
      </c>
      <c r="F250" s="173" t="s">
        <v>2</v>
      </c>
      <c r="G250" s="173">
        <v>22</v>
      </c>
      <c r="H250" s="173" t="s">
        <v>3</v>
      </c>
      <c r="I250" s="372" t="s">
        <v>693</v>
      </c>
      <c r="J250" s="476"/>
      <c r="K250" s="476"/>
      <c r="L250" s="476"/>
      <c r="M250" s="173">
        <v>1</v>
      </c>
      <c r="N250" s="478"/>
      <c r="O250" s="173"/>
      <c r="P250" s="454"/>
      <c r="Q250" s="173"/>
      <c r="R250" s="477">
        <f t="shared" si="6"/>
        <v>1</v>
      </c>
      <c r="S250" s="475"/>
      <c r="T250" s="477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4.4">
      <c r="A251" s="481">
        <v>210</v>
      </c>
      <c r="B251" s="173" t="s">
        <v>158</v>
      </c>
      <c r="C251" s="473" t="str">
        <f t="shared" si="7"/>
        <v>366</v>
      </c>
      <c r="D251" s="474">
        <v>366</v>
      </c>
      <c r="E251" s="173" t="s">
        <v>377</v>
      </c>
      <c r="F251" s="173" t="s">
        <v>2</v>
      </c>
      <c r="G251" s="173">
        <v>20</v>
      </c>
      <c r="H251" s="173" t="s">
        <v>3</v>
      </c>
      <c r="I251" s="372" t="s">
        <v>693</v>
      </c>
      <c r="J251" s="476"/>
      <c r="K251" s="476"/>
      <c r="L251" s="476"/>
      <c r="M251" s="173">
        <v>1</v>
      </c>
      <c r="N251" s="478"/>
      <c r="O251" s="173"/>
      <c r="P251" s="454"/>
      <c r="Q251" s="173"/>
      <c r="R251" s="477">
        <f t="shared" si="6"/>
        <v>1</v>
      </c>
      <c r="S251" s="475"/>
      <c r="T251" s="477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4.4">
      <c r="A252" s="481">
        <v>211</v>
      </c>
      <c r="B252" s="173" t="s">
        <v>160</v>
      </c>
      <c r="C252" s="473" t="str">
        <f t="shared" si="7"/>
        <v>366</v>
      </c>
      <c r="D252" s="474">
        <v>366</v>
      </c>
      <c r="E252" s="173" t="s">
        <v>378</v>
      </c>
      <c r="F252" s="173" t="s">
        <v>2</v>
      </c>
      <c r="G252" s="173">
        <v>20</v>
      </c>
      <c r="H252" s="173" t="s">
        <v>3</v>
      </c>
      <c r="I252" s="372" t="s">
        <v>693</v>
      </c>
      <c r="J252" s="476"/>
      <c r="K252" s="476"/>
      <c r="L252" s="476"/>
      <c r="M252" s="173">
        <v>1</v>
      </c>
      <c r="N252" s="478"/>
      <c r="O252" s="173"/>
      <c r="P252" s="454"/>
      <c r="Q252" s="173"/>
      <c r="R252" s="477">
        <f t="shared" si="6"/>
        <v>1</v>
      </c>
      <c r="S252" s="475"/>
      <c r="T252" s="477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4.4">
      <c r="A253" s="481">
        <v>212</v>
      </c>
      <c r="B253" s="173" t="s">
        <v>158</v>
      </c>
      <c r="C253" s="473" t="str">
        <f t="shared" si="7"/>
        <v>366</v>
      </c>
      <c r="D253" s="474">
        <v>366</v>
      </c>
      <c r="E253" s="173" t="s">
        <v>379</v>
      </c>
      <c r="F253" s="173" t="s">
        <v>2</v>
      </c>
      <c r="G253" s="173">
        <v>17</v>
      </c>
      <c r="H253" s="173" t="s">
        <v>3</v>
      </c>
      <c r="I253" s="372" t="s">
        <v>694</v>
      </c>
      <c r="J253" s="476"/>
      <c r="K253" s="476"/>
      <c r="L253" s="476"/>
      <c r="M253" s="173">
        <v>1</v>
      </c>
      <c r="N253" s="478"/>
      <c r="O253" s="173"/>
      <c r="P253" s="454"/>
      <c r="Q253" s="173"/>
      <c r="R253" s="477">
        <f t="shared" si="6"/>
        <v>1</v>
      </c>
      <c r="S253" s="475"/>
      <c r="T253" s="477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4.4">
      <c r="A254" s="481">
        <v>213</v>
      </c>
      <c r="B254" s="173" t="s">
        <v>158</v>
      </c>
      <c r="C254" s="473" t="str">
        <f t="shared" si="7"/>
        <v>366</v>
      </c>
      <c r="D254" s="474">
        <v>366</v>
      </c>
      <c r="E254" s="173" t="s">
        <v>380</v>
      </c>
      <c r="F254" s="173" t="s">
        <v>2</v>
      </c>
      <c r="G254" s="173">
        <v>18</v>
      </c>
      <c r="H254" s="173" t="s">
        <v>3</v>
      </c>
      <c r="I254" s="372" t="s">
        <v>693</v>
      </c>
      <c r="J254" s="476"/>
      <c r="K254" s="476"/>
      <c r="L254" s="476"/>
      <c r="M254" s="173">
        <v>1</v>
      </c>
      <c r="N254" s="478"/>
      <c r="O254" s="173"/>
      <c r="P254" s="454"/>
      <c r="Q254" s="173"/>
      <c r="R254" s="477">
        <f t="shared" si="6"/>
        <v>1</v>
      </c>
      <c r="S254" s="475"/>
      <c r="T254" s="477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4.4">
      <c r="A255" s="481">
        <v>214</v>
      </c>
      <c r="B255" s="173" t="s">
        <v>158</v>
      </c>
      <c r="C255" s="473" t="str">
        <f t="shared" si="7"/>
        <v>366</v>
      </c>
      <c r="D255" s="474">
        <v>366</v>
      </c>
      <c r="E255" s="173" t="s">
        <v>381</v>
      </c>
      <c r="F255" s="173" t="s">
        <v>2</v>
      </c>
      <c r="G255" s="173">
        <v>20</v>
      </c>
      <c r="H255" s="173" t="s">
        <v>3</v>
      </c>
      <c r="I255" s="372" t="s">
        <v>695</v>
      </c>
      <c r="J255" s="476"/>
      <c r="K255" s="476"/>
      <c r="L255" s="476"/>
      <c r="M255" s="173">
        <v>1</v>
      </c>
      <c r="N255" s="478"/>
      <c r="O255" s="173"/>
      <c r="P255" s="454"/>
      <c r="Q255" s="173">
        <v>0</v>
      </c>
      <c r="R255" s="477">
        <f t="shared" si="6"/>
        <v>1</v>
      </c>
      <c r="S255" s="475"/>
      <c r="T255" s="477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4.4">
      <c r="A256" s="481">
        <v>215</v>
      </c>
      <c r="B256" s="173" t="s">
        <v>160</v>
      </c>
      <c r="C256" s="473" t="str">
        <f t="shared" si="7"/>
        <v>366</v>
      </c>
      <c r="D256" s="474">
        <v>366</v>
      </c>
      <c r="E256" s="173" t="s">
        <v>382</v>
      </c>
      <c r="F256" s="173" t="s">
        <v>2</v>
      </c>
      <c r="G256" s="173">
        <v>19</v>
      </c>
      <c r="H256" s="173" t="s">
        <v>3</v>
      </c>
      <c r="I256" s="372" t="s">
        <v>696</v>
      </c>
      <c r="J256" s="476"/>
      <c r="K256" s="476"/>
      <c r="L256" s="476"/>
      <c r="M256" s="173">
        <v>1</v>
      </c>
      <c r="N256" s="478"/>
      <c r="O256" s="173"/>
      <c r="P256" s="454"/>
      <c r="Q256" s="173"/>
      <c r="R256" s="477">
        <f t="shared" si="6"/>
        <v>1</v>
      </c>
      <c r="S256" s="475"/>
      <c r="T256" s="477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27.6">
      <c r="A257" s="481">
        <v>216</v>
      </c>
      <c r="B257" s="173" t="s">
        <v>162</v>
      </c>
      <c r="C257" s="473" t="str">
        <f t="shared" si="7"/>
        <v>366</v>
      </c>
      <c r="D257" s="474">
        <v>366</v>
      </c>
      <c r="E257" s="173" t="s">
        <v>383</v>
      </c>
      <c r="F257" s="173" t="s">
        <v>2</v>
      </c>
      <c r="G257" s="173">
        <v>19</v>
      </c>
      <c r="H257" s="173" t="s">
        <v>3</v>
      </c>
      <c r="I257" s="372" t="s">
        <v>697</v>
      </c>
      <c r="J257" s="476"/>
      <c r="K257" s="476"/>
      <c r="L257" s="476"/>
      <c r="M257" s="173">
        <v>1</v>
      </c>
      <c r="N257" s="478"/>
      <c r="O257" s="173"/>
      <c r="P257" s="454"/>
      <c r="Q257" s="173">
        <v>0</v>
      </c>
      <c r="R257" s="477">
        <f t="shared" si="6"/>
        <v>1</v>
      </c>
      <c r="S257" s="475"/>
      <c r="T257" s="477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41.4">
      <c r="A258" s="481">
        <v>217</v>
      </c>
      <c r="B258" s="173" t="s">
        <v>159</v>
      </c>
      <c r="C258" s="473" t="str">
        <f t="shared" si="7"/>
        <v>366</v>
      </c>
      <c r="D258" s="474">
        <v>366</v>
      </c>
      <c r="E258" s="173" t="s">
        <v>384</v>
      </c>
      <c r="F258" s="173" t="s">
        <v>2</v>
      </c>
      <c r="G258" s="173">
        <v>22</v>
      </c>
      <c r="H258" s="170" t="s">
        <v>3</v>
      </c>
      <c r="I258" s="372" t="s">
        <v>698</v>
      </c>
      <c r="J258" s="476"/>
      <c r="K258" s="476"/>
      <c r="L258" s="476"/>
      <c r="M258" s="170">
        <v>1</v>
      </c>
      <c r="N258" s="173"/>
      <c r="O258" s="173"/>
      <c r="P258" s="454"/>
      <c r="Q258" s="173"/>
      <c r="R258" s="477">
        <f t="shared" si="6"/>
        <v>1</v>
      </c>
      <c r="S258" s="475"/>
      <c r="T258" s="477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41.4">
      <c r="A259" s="481">
        <v>218</v>
      </c>
      <c r="B259" s="173" t="s">
        <v>159</v>
      </c>
      <c r="C259" s="473" t="str">
        <f t="shared" si="7"/>
        <v>366</v>
      </c>
      <c r="D259" s="474">
        <v>366</v>
      </c>
      <c r="E259" s="173" t="s">
        <v>385</v>
      </c>
      <c r="F259" s="173" t="s">
        <v>4</v>
      </c>
      <c r="G259" s="173">
        <v>19</v>
      </c>
      <c r="H259" s="170" t="s">
        <v>3</v>
      </c>
      <c r="I259" s="372" t="s">
        <v>699</v>
      </c>
      <c r="J259" s="476"/>
      <c r="K259" s="476"/>
      <c r="L259" s="476"/>
      <c r="M259" s="170">
        <v>1</v>
      </c>
      <c r="N259" s="173">
        <v>1</v>
      </c>
      <c r="O259" s="173"/>
      <c r="P259" s="454"/>
      <c r="Q259" s="173">
        <v>0</v>
      </c>
      <c r="R259" s="477">
        <f t="shared" si="6"/>
        <v>1</v>
      </c>
      <c r="S259" s="475"/>
      <c r="T259" s="477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27.6">
      <c r="A260" s="481">
        <v>219</v>
      </c>
      <c r="B260" s="173" t="s">
        <v>159</v>
      </c>
      <c r="C260" s="473" t="str">
        <f t="shared" si="7"/>
        <v>366</v>
      </c>
      <c r="D260" s="474">
        <v>366</v>
      </c>
      <c r="E260" s="173" t="s">
        <v>386</v>
      </c>
      <c r="F260" s="173" t="s">
        <v>2</v>
      </c>
      <c r="G260" s="173">
        <v>18</v>
      </c>
      <c r="H260" s="170" t="s">
        <v>3</v>
      </c>
      <c r="I260" s="372" t="s">
        <v>700</v>
      </c>
      <c r="J260" s="476"/>
      <c r="K260" s="476"/>
      <c r="L260" s="476"/>
      <c r="M260" s="170">
        <v>1</v>
      </c>
      <c r="N260" s="173"/>
      <c r="O260" s="173"/>
      <c r="P260" s="454"/>
      <c r="Q260" s="173"/>
      <c r="R260" s="477">
        <f t="shared" si="6"/>
        <v>1</v>
      </c>
      <c r="S260" s="475"/>
      <c r="T260" s="477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55.2">
      <c r="A261" s="481">
        <v>220</v>
      </c>
      <c r="B261" s="173" t="s">
        <v>159</v>
      </c>
      <c r="C261" s="473" t="str">
        <f t="shared" si="7"/>
        <v>366</v>
      </c>
      <c r="D261" s="474">
        <v>366</v>
      </c>
      <c r="E261" s="173" t="s">
        <v>387</v>
      </c>
      <c r="F261" s="173" t="s">
        <v>2</v>
      </c>
      <c r="G261" s="173">
        <v>30</v>
      </c>
      <c r="H261" s="170" t="s">
        <v>3</v>
      </c>
      <c r="I261" s="486" t="s">
        <v>701</v>
      </c>
      <c r="J261" s="476"/>
      <c r="K261" s="476"/>
      <c r="L261" s="476"/>
      <c r="M261" s="170">
        <v>1</v>
      </c>
      <c r="N261" s="173">
        <v>1</v>
      </c>
      <c r="O261" s="173"/>
      <c r="P261" s="454"/>
      <c r="Q261" s="173">
        <v>0</v>
      </c>
      <c r="R261" s="477">
        <f t="shared" si="6"/>
        <v>1</v>
      </c>
      <c r="S261" s="475"/>
      <c r="T261" s="477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55.2">
      <c r="A262" s="481">
        <v>221</v>
      </c>
      <c r="B262" s="173" t="s">
        <v>159</v>
      </c>
      <c r="C262" s="473" t="str">
        <f t="shared" si="7"/>
        <v>366</v>
      </c>
      <c r="D262" s="474">
        <v>366</v>
      </c>
      <c r="E262" s="173" t="s">
        <v>388</v>
      </c>
      <c r="F262" s="173" t="s">
        <v>2</v>
      </c>
      <c r="G262" s="173">
        <v>23</v>
      </c>
      <c r="H262" s="170" t="s">
        <v>3</v>
      </c>
      <c r="I262" s="486" t="s">
        <v>702</v>
      </c>
      <c r="J262" s="476"/>
      <c r="K262" s="476"/>
      <c r="L262" s="476"/>
      <c r="M262" s="170">
        <v>1</v>
      </c>
      <c r="N262" s="372">
        <v>1</v>
      </c>
      <c r="O262" s="173"/>
      <c r="P262" s="454"/>
      <c r="Q262" s="173"/>
      <c r="R262" s="477">
        <f t="shared" si="6"/>
        <v>1</v>
      </c>
      <c r="S262" s="475"/>
      <c r="T262" s="477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27.6">
      <c r="A263" s="481">
        <v>222</v>
      </c>
      <c r="B263" s="173" t="s">
        <v>166</v>
      </c>
      <c r="C263" s="473" t="str">
        <f t="shared" si="7"/>
        <v>366</v>
      </c>
      <c r="D263" s="474">
        <v>366</v>
      </c>
      <c r="E263" s="173" t="s">
        <v>389</v>
      </c>
      <c r="F263" s="173" t="s">
        <v>2</v>
      </c>
      <c r="G263" s="173">
        <v>23</v>
      </c>
      <c r="H263" s="170" t="s">
        <v>3</v>
      </c>
      <c r="I263" s="372" t="s">
        <v>703</v>
      </c>
      <c r="J263" s="476"/>
      <c r="K263" s="476"/>
      <c r="L263" s="476"/>
      <c r="M263" s="170">
        <v>1</v>
      </c>
      <c r="N263" s="479"/>
      <c r="O263" s="173"/>
      <c r="P263" s="454">
        <v>1</v>
      </c>
      <c r="Q263" s="173">
        <v>1</v>
      </c>
      <c r="R263" s="477">
        <f t="shared" si="6"/>
        <v>1</v>
      </c>
      <c r="S263" s="475"/>
      <c r="T263" s="477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4.4">
      <c r="A264" s="481">
        <v>223</v>
      </c>
      <c r="B264" s="173" t="s">
        <v>166</v>
      </c>
      <c r="C264" s="473" t="str">
        <f t="shared" si="7"/>
        <v>366</v>
      </c>
      <c r="D264" s="474">
        <v>366</v>
      </c>
      <c r="E264" s="173" t="s">
        <v>390</v>
      </c>
      <c r="F264" s="173" t="s">
        <v>2</v>
      </c>
      <c r="G264" s="173">
        <v>24</v>
      </c>
      <c r="H264" s="170" t="s">
        <v>3</v>
      </c>
      <c r="I264" s="372" t="s">
        <v>704</v>
      </c>
      <c r="J264" s="476"/>
      <c r="K264" s="476"/>
      <c r="L264" s="476"/>
      <c r="M264" s="170">
        <v>1</v>
      </c>
      <c r="N264" s="173"/>
      <c r="O264" s="173"/>
      <c r="P264" s="454"/>
      <c r="Q264" s="173"/>
      <c r="R264" s="477">
        <f t="shared" si="6"/>
        <v>1</v>
      </c>
      <c r="S264" s="475"/>
      <c r="T264" s="477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4.4">
      <c r="A265" s="481">
        <v>224</v>
      </c>
      <c r="B265" s="173" t="s">
        <v>166</v>
      </c>
      <c r="C265" s="473" t="str">
        <f t="shared" si="7"/>
        <v>366</v>
      </c>
      <c r="D265" s="474">
        <v>366</v>
      </c>
      <c r="E265" s="173" t="s">
        <v>391</v>
      </c>
      <c r="F265" s="173" t="s">
        <v>4</v>
      </c>
      <c r="G265" s="173">
        <v>27</v>
      </c>
      <c r="H265" s="170" t="s">
        <v>3</v>
      </c>
      <c r="I265" s="372" t="s">
        <v>705</v>
      </c>
      <c r="J265" s="476"/>
      <c r="K265" s="476"/>
      <c r="L265" s="476"/>
      <c r="M265" s="170">
        <v>1</v>
      </c>
      <c r="N265" s="173"/>
      <c r="O265" s="173">
        <v>1</v>
      </c>
      <c r="P265" s="454"/>
      <c r="Q265" s="173"/>
      <c r="R265" s="477">
        <f t="shared" si="6"/>
        <v>1</v>
      </c>
      <c r="S265" s="475"/>
      <c r="T265" s="477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27.6">
      <c r="A266" s="481">
        <v>225</v>
      </c>
      <c r="B266" s="173" t="s">
        <v>166</v>
      </c>
      <c r="C266" s="473" t="str">
        <f t="shared" si="7"/>
        <v>366</v>
      </c>
      <c r="D266" s="474">
        <v>366</v>
      </c>
      <c r="E266" s="173" t="s">
        <v>392</v>
      </c>
      <c r="F266" s="173" t="s">
        <v>2</v>
      </c>
      <c r="G266" s="173">
        <v>25</v>
      </c>
      <c r="H266" s="170" t="s">
        <v>3</v>
      </c>
      <c r="I266" s="372" t="s">
        <v>706</v>
      </c>
      <c r="J266" s="476"/>
      <c r="K266" s="476"/>
      <c r="L266" s="476"/>
      <c r="M266" s="170">
        <v>1</v>
      </c>
      <c r="N266" s="372">
        <v>1</v>
      </c>
      <c r="O266" s="173"/>
      <c r="P266" s="454"/>
      <c r="Q266" s="173"/>
      <c r="R266" s="477">
        <f t="shared" si="6"/>
        <v>1</v>
      </c>
      <c r="S266" s="475"/>
      <c r="T266" s="477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4.4">
      <c r="A267" s="481">
        <v>226</v>
      </c>
      <c r="B267" s="173" t="s">
        <v>166</v>
      </c>
      <c r="C267" s="473" t="str">
        <f t="shared" si="7"/>
        <v>366</v>
      </c>
      <c r="D267" s="474">
        <v>366</v>
      </c>
      <c r="E267" s="173" t="s">
        <v>393</v>
      </c>
      <c r="F267" s="173" t="s">
        <v>2</v>
      </c>
      <c r="G267" s="173">
        <v>21</v>
      </c>
      <c r="H267" s="170" t="s">
        <v>3</v>
      </c>
      <c r="I267" s="372" t="s">
        <v>707</v>
      </c>
      <c r="J267" s="476"/>
      <c r="K267" s="476"/>
      <c r="L267" s="476"/>
      <c r="M267" s="170">
        <v>1</v>
      </c>
      <c r="N267" s="372">
        <v>1</v>
      </c>
      <c r="O267" s="173"/>
      <c r="P267" s="454"/>
      <c r="Q267" s="173">
        <v>0</v>
      </c>
      <c r="R267" s="477">
        <f t="shared" si="6"/>
        <v>1</v>
      </c>
      <c r="S267" s="475"/>
      <c r="T267" s="477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4.4">
      <c r="A268" s="481">
        <v>227</v>
      </c>
      <c r="B268" s="173" t="s">
        <v>166</v>
      </c>
      <c r="C268" s="473" t="str">
        <f t="shared" si="7"/>
        <v>366</v>
      </c>
      <c r="D268" s="474">
        <v>366</v>
      </c>
      <c r="E268" s="173" t="s">
        <v>394</v>
      </c>
      <c r="F268" s="173" t="s">
        <v>4</v>
      </c>
      <c r="G268" s="173">
        <v>21</v>
      </c>
      <c r="H268" s="170" t="s">
        <v>3</v>
      </c>
      <c r="I268" s="372" t="s">
        <v>708</v>
      </c>
      <c r="J268" s="476"/>
      <c r="K268" s="476"/>
      <c r="L268" s="476"/>
      <c r="M268" s="170">
        <v>1</v>
      </c>
      <c r="N268" s="372">
        <v>1</v>
      </c>
      <c r="O268" s="173"/>
      <c r="P268" s="454"/>
      <c r="Q268" s="173">
        <v>1</v>
      </c>
      <c r="R268" s="477">
        <f t="shared" si="6"/>
        <v>1</v>
      </c>
      <c r="S268" s="475"/>
      <c r="T268" s="477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4.4">
      <c r="A269" s="481">
        <v>228</v>
      </c>
      <c r="B269" s="173" t="s">
        <v>166</v>
      </c>
      <c r="C269" s="473" t="str">
        <f t="shared" si="7"/>
        <v>366</v>
      </c>
      <c r="D269" s="474">
        <v>366</v>
      </c>
      <c r="E269" s="173" t="s">
        <v>395</v>
      </c>
      <c r="F269" s="173" t="s">
        <v>2</v>
      </c>
      <c r="G269" s="173">
        <v>23</v>
      </c>
      <c r="H269" s="170" t="s">
        <v>3</v>
      </c>
      <c r="I269" s="372" t="s">
        <v>709</v>
      </c>
      <c r="J269" s="476"/>
      <c r="K269" s="476"/>
      <c r="L269" s="476"/>
      <c r="M269" s="170">
        <v>1</v>
      </c>
      <c r="N269" s="372"/>
      <c r="O269" s="173"/>
      <c r="P269" s="454"/>
      <c r="Q269" s="173"/>
      <c r="R269" s="477">
        <f t="shared" si="6"/>
        <v>1</v>
      </c>
      <c r="S269" s="475"/>
      <c r="T269" s="477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41.4">
      <c r="A270" s="481">
        <v>229</v>
      </c>
      <c r="B270" s="173" t="s">
        <v>159</v>
      </c>
      <c r="C270" s="473" t="str">
        <f t="shared" si="7"/>
        <v>366</v>
      </c>
      <c r="D270" s="474">
        <v>366</v>
      </c>
      <c r="E270" s="173" t="s">
        <v>396</v>
      </c>
      <c r="F270" s="173" t="s">
        <v>2</v>
      </c>
      <c r="G270" s="173">
        <v>23</v>
      </c>
      <c r="H270" s="170" t="s">
        <v>3</v>
      </c>
      <c r="I270" s="372" t="s">
        <v>710</v>
      </c>
      <c r="J270" s="476"/>
      <c r="K270" s="476"/>
      <c r="L270" s="476"/>
      <c r="M270" s="170">
        <v>1</v>
      </c>
      <c r="N270" s="372">
        <v>1</v>
      </c>
      <c r="O270" s="173"/>
      <c r="P270" s="454"/>
      <c r="Q270" s="173">
        <v>0</v>
      </c>
      <c r="R270" s="477">
        <f t="shared" si="6"/>
        <v>1</v>
      </c>
      <c r="S270" s="475"/>
      <c r="T270" s="477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55.2">
      <c r="A271" s="481">
        <v>230</v>
      </c>
      <c r="B271" s="173" t="s">
        <v>159</v>
      </c>
      <c r="C271" s="473" t="str">
        <f t="shared" si="7"/>
        <v>366</v>
      </c>
      <c r="D271" s="474">
        <v>366</v>
      </c>
      <c r="E271" s="173" t="s">
        <v>397</v>
      </c>
      <c r="F271" s="173" t="s">
        <v>2</v>
      </c>
      <c r="G271" s="173">
        <v>23</v>
      </c>
      <c r="H271" s="170" t="s">
        <v>3</v>
      </c>
      <c r="I271" s="372" t="s">
        <v>711</v>
      </c>
      <c r="J271" s="476"/>
      <c r="K271" s="476"/>
      <c r="L271" s="476"/>
      <c r="M271" s="170">
        <v>1</v>
      </c>
      <c r="N271" s="173"/>
      <c r="O271" s="173">
        <v>0</v>
      </c>
      <c r="P271" s="454"/>
      <c r="Q271" s="173">
        <v>1</v>
      </c>
      <c r="R271" s="477">
        <f t="shared" si="6"/>
        <v>1</v>
      </c>
      <c r="S271" s="475"/>
      <c r="T271" s="477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55.2">
      <c r="A272" s="481">
        <v>231</v>
      </c>
      <c r="B272" s="173" t="s">
        <v>159</v>
      </c>
      <c r="C272" s="473" t="str">
        <f t="shared" si="7"/>
        <v>366</v>
      </c>
      <c r="D272" s="474">
        <v>366</v>
      </c>
      <c r="E272" s="173" t="s">
        <v>398</v>
      </c>
      <c r="F272" s="173" t="s">
        <v>4</v>
      </c>
      <c r="G272" s="173">
        <v>22</v>
      </c>
      <c r="H272" s="170" t="s">
        <v>3</v>
      </c>
      <c r="I272" s="372" t="s">
        <v>712</v>
      </c>
      <c r="J272" s="476"/>
      <c r="K272" s="476"/>
      <c r="L272" s="476"/>
      <c r="M272" s="170">
        <v>1</v>
      </c>
      <c r="N272" s="173"/>
      <c r="O272" s="173">
        <v>1</v>
      </c>
      <c r="P272" s="454"/>
      <c r="Q272" s="173"/>
      <c r="R272" s="477">
        <f t="shared" si="6"/>
        <v>1</v>
      </c>
      <c r="S272" s="475"/>
      <c r="T272" s="477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55.2">
      <c r="A273" s="481">
        <v>232</v>
      </c>
      <c r="B273" s="173" t="s">
        <v>159</v>
      </c>
      <c r="C273" s="473" t="str">
        <f t="shared" si="7"/>
        <v>366</v>
      </c>
      <c r="D273" s="474">
        <v>366</v>
      </c>
      <c r="E273" s="173" t="s">
        <v>399</v>
      </c>
      <c r="F273" s="173" t="s">
        <v>4</v>
      </c>
      <c r="G273" s="173">
        <v>21</v>
      </c>
      <c r="H273" s="170" t="s">
        <v>3</v>
      </c>
      <c r="I273" s="372" t="s">
        <v>713</v>
      </c>
      <c r="J273" s="476"/>
      <c r="K273" s="476"/>
      <c r="L273" s="476"/>
      <c r="M273" s="170">
        <v>1</v>
      </c>
      <c r="N273" s="173"/>
      <c r="O273" s="173">
        <v>1</v>
      </c>
      <c r="P273" s="454"/>
      <c r="Q273" s="173">
        <v>1</v>
      </c>
      <c r="R273" s="477">
        <f t="shared" si="6"/>
        <v>1</v>
      </c>
      <c r="S273" s="475"/>
      <c r="T273" s="477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4.4">
      <c r="A274" s="481">
        <v>233</v>
      </c>
      <c r="B274" s="173" t="s">
        <v>167</v>
      </c>
      <c r="C274" s="473" t="str">
        <f t="shared" si="7"/>
        <v>366</v>
      </c>
      <c r="D274" s="474">
        <v>366</v>
      </c>
      <c r="E274" s="173" t="s">
        <v>400</v>
      </c>
      <c r="F274" s="173" t="s">
        <v>4</v>
      </c>
      <c r="G274" s="173">
        <v>24</v>
      </c>
      <c r="H274" s="170" t="s">
        <v>3</v>
      </c>
      <c r="I274" s="372" t="s">
        <v>714</v>
      </c>
      <c r="J274" s="476"/>
      <c r="K274" s="476"/>
      <c r="L274" s="476"/>
      <c r="M274" s="170">
        <v>1</v>
      </c>
      <c r="N274" s="173"/>
      <c r="O274" s="173"/>
      <c r="P274" s="454">
        <v>0</v>
      </c>
      <c r="Q274" s="173">
        <v>1</v>
      </c>
      <c r="R274" s="477">
        <f t="shared" si="6"/>
        <v>1</v>
      </c>
      <c r="S274" s="475"/>
      <c r="T274" s="477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4.4">
      <c r="A275" s="481">
        <v>234</v>
      </c>
      <c r="B275" s="173" t="s">
        <v>167</v>
      </c>
      <c r="C275" s="473" t="str">
        <f t="shared" si="7"/>
        <v>366</v>
      </c>
      <c r="D275" s="474">
        <v>366</v>
      </c>
      <c r="E275" s="173" t="s">
        <v>401</v>
      </c>
      <c r="F275" s="173" t="s">
        <v>2</v>
      </c>
      <c r="G275" s="173">
        <v>17</v>
      </c>
      <c r="H275" s="170" t="s">
        <v>3</v>
      </c>
      <c r="I275" s="372" t="s">
        <v>715</v>
      </c>
      <c r="J275" s="476"/>
      <c r="K275" s="476"/>
      <c r="L275" s="476"/>
      <c r="M275" s="170">
        <v>1</v>
      </c>
      <c r="N275" s="372">
        <v>1</v>
      </c>
      <c r="O275" s="173"/>
      <c r="P275" s="454"/>
      <c r="Q275" s="173">
        <v>1</v>
      </c>
      <c r="R275" s="477">
        <f t="shared" si="6"/>
        <v>1</v>
      </c>
      <c r="S275" s="475"/>
      <c r="T275" s="477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4.4">
      <c r="A276" s="481">
        <v>235</v>
      </c>
      <c r="B276" s="173" t="s">
        <v>167</v>
      </c>
      <c r="C276" s="473" t="str">
        <f t="shared" si="7"/>
        <v>366</v>
      </c>
      <c r="D276" s="474">
        <v>366</v>
      </c>
      <c r="E276" s="173" t="s">
        <v>402</v>
      </c>
      <c r="F276" s="173" t="s">
        <v>2</v>
      </c>
      <c r="G276" s="173">
        <v>19</v>
      </c>
      <c r="H276" s="170" t="s">
        <v>3</v>
      </c>
      <c r="I276" s="372" t="s">
        <v>716</v>
      </c>
      <c r="J276" s="476"/>
      <c r="K276" s="476"/>
      <c r="L276" s="476"/>
      <c r="M276" s="170">
        <v>1</v>
      </c>
      <c r="N276" s="173"/>
      <c r="O276" s="173">
        <v>1</v>
      </c>
      <c r="P276" s="454"/>
      <c r="Q276" s="173">
        <v>1</v>
      </c>
      <c r="R276" s="477">
        <f t="shared" si="6"/>
        <v>1</v>
      </c>
      <c r="S276" s="475"/>
      <c r="T276" s="477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41.4">
      <c r="A277" s="481">
        <v>236</v>
      </c>
      <c r="B277" s="173" t="s">
        <v>167</v>
      </c>
      <c r="C277" s="473" t="str">
        <f t="shared" si="7"/>
        <v>366</v>
      </c>
      <c r="D277" s="474">
        <v>366</v>
      </c>
      <c r="E277" s="173" t="s">
        <v>403</v>
      </c>
      <c r="F277" s="173" t="s">
        <v>4</v>
      </c>
      <c r="G277" s="173">
        <v>23</v>
      </c>
      <c r="H277" s="170" t="s">
        <v>3</v>
      </c>
      <c r="I277" s="372" t="s">
        <v>717</v>
      </c>
      <c r="J277" s="476"/>
      <c r="K277" s="476"/>
      <c r="L277" s="476"/>
      <c r="M277" s="170">
        <v>1</v>
      </c>
      <c r="N277" s="173"/>
      <c r="O277" s="173">
        <v>1</v>
      </c>
      <c r="P277" s="454"/>
      <c r="Q277" s="173">
        <v>1</v>
      </c>
      <c r="R277" s="477">
        <f t="shared" si="6"/>
        <v>1</v>
      </c>
      <c r="S277" s="475"/>
      <c r="T277" s="477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4.4">
      <c r="A278" s="481">
        <v>237</v>
      </c>
      <c r="B278" s="173" t="s">
        <v>167</v>
      </c>
      <c r="C278" s="473" t="str">
        <f t="shared" si="7"/>
        <v>366</v>
      </c>
      <c r="D278" s="474">
        <v>366</v>
      </c>
      <c r="E278" s="173" t="s">
        <v>404</v>
      </c>
      <c r="F278" s="173" t="s">
        <v>2</v>
      </c>
      <c r="G278" s="173">
        <v>26</v>
      </c>
      <c r="H278" s="170" t="s">
        <v>3</v>
      </c>
      <c r="I278" s="372" t="s">
        <v>718</v>
      </c>
      <c r="J278" s="476"/>
      <c r="K278" s="476"/>
      <c r="L278" s="476"/>
      <c r="M278" s="170">
        <v>1</v>
      </c>
      <c r="N278" s="173"/>
      <c r="O278" s="173"/>
      <c r="P278" s="454"/>
      <c r="Q278" s="173"/>
      <c r="R278" s="477">
        <f t="shared" si="6"/>
        <v>1</v>
      </c>
      <c r="S278" s="475"/>
      <c r="T278" s="477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4.4">
      <c r="A279" s="481">
        <v>238</v>
      </c>
      <c r="B279" s="173" t="s">
        <v>167</v>
      </c>
      <c r="C279" s="473" t="str">
        <f t="shared" si="7"/>
        <v>366</v>
      </c>
      <c r="D279" s="474">
        <v>366</v>
      </c>
      <c r="E279" s="173" t="s">
        <v>405</v>
      </c>
      <c r="F279" s="173" t="s">
        <v>2</v>
      </c>
      <c r="G279" s="173">
        <v>21</v>
      </c>
      <c r="H279" s="170" t="s">
        <v>5</v>
      </c>
      <c r="I279" s="372"/>
      <c r="J279" s="476"/>
      <c r="K279" s="476"/>
      <c r="L279" s="476"/>
      <c r="M279" s="170">
        <v>0</v>
      </c>
      <c r="N279" s="173"/>
      <c r="O279" s="173"/>
      <c r="P279" s="454"/>
      <c r="Q279" s="173">
        <v>0</v>
      </c>
      <c r="R279" s="477">
        <f t="shared" si="6"/>
        <v>0</v>
      </c>
      <c r="S279" s="475"/>
      <c r="T279" s="477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27.6">
      <c r="A280" s="481">
        <v>239</v>
      </c>
      <c r="B280" s="173" t="s">
        <v>156</v>
      </c>
      <c r="C280" s="473" t="str">
        <f t="shared" si="7"/>
        <v>366</v>
      </c>
      <c r="D280" s="474">
        <v>366</v>
      </c>
      <c r="E280" s="173" t="s">
        <v>406</v>
      </c>
      <c r="F280" s="173" t="s">
        <v>2</v>
      </c>
      <c r="G280" s="173">
        <v>25</v>
      </c>
      <c r="H280" s="170" t="s">
        <v>3</v>
      </c>
      <c r="I280" s="372" t="s">
        <v>719</v>
      </c>
      <c r="J280" s="476"/>
      <c r="K280" s="476"/>
      <c r="L280" s="476"/>
      <c r="M280" s="170">
        <v>1</v>
      </c>
      <c r="N280" s="372">
        <v>1</v>
      </c>
      <c r="O280" s="173"/>
      <c r="P280" s="454"/>
      <c r="Q280" s="173">
        <v>0</v>
      </c>
      <c r="R280" s="477">
        <f t="shared" si="6"/>
        <v>1</v>
      </c>
      <c r="S280" s="475"/>
      <c r="T280" s="477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4.4">
      <c r="A281" s="481">
        <v>240</v>
      </c>
      <c r="B281" s="173" t="s">
        <v>156</v>
      </c>
      <c r="C281" s="473" t="str">
        <f t="shared" si="7"/>
        <v>366</v>
      </c>
      <c r="D281" s="474">
        <v>366</v>
      </c>
      <c r="E281" s="173" t="s">
        <v>407</v>
      </c>
      <c r="F281" s="173" t="s">
        <v>2</v>
      </c>
      <c r="G281" s="173">
        <v>27</v>
      </c>
      <c r="H281" s="170" t="s">
        <v>3</v>
      </c>
      <c r="I281" s="372" t="s">
        <v>720</v>
      </c>
      <c r="J281" s="476"/>
      <c r="K281" s="476"/>
      <c r="L281" s="476"/>
      <c r="M281" s="170">
        <v>1</v>
      </c>
      <c r="N281" s="372">
        <v>1</v>
      </c>
      <c r="O281" s="173"/>
      <c r="P281" s="454"/>
      <c r="Q281" s="173">
        <v>0</v>
      </c>
      <c r="R281" s="477">
        <f t="shared" si="6"/>
        <v>1</v>
      </c>
      <c r="S281" s="475"/>
      <c r="T281" s="477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27.6">
      <c r="A282" s="481">
        <v>241</v>
      </c>
      <c r="B282" s="173" t="s">
        <v>156</v>
      </c>
      <c r="C282" s="473" t="str">
        <f t="shared" si="7"/>
        <v>366</v>
      </c>
      <c r="D282" s="474">
        <v>366</v>
      </c>
      <c r="E282" s="173" t="s">
        <v>408</v>
      </c>
      <c r="F282" s="173" t="s">
        <v>2</v>
      </c>
      <c r="G282" s="173">
        <v>19</v>
      </c>
      <c r="H282" s="170" t="s">
        <v>3</v>
      </c>
      <c r="I282" s="372" t="s">
        <v>721</v>
      </c>
      <c r="J282" s="476"/>
      <c r="K282" s="476"/>
      <c r="L282" s="476"/>
      <c r="M282" s="170">
        <v>1</v>
      </c>
      <c r="N282" s="372">
        <v>1</v>
      </c>
      <c r="O282" s="173"/>
      <c r="P282" s="454"/>
      <c r="Q282" s="173">
        <v>1</v>
      </c>
      <c r="R282" s="477">
        <f t="shared" si="6"/>
        <v>1</v>
      </c>
      <c r="S282" s="475"/>
      <c r="T282" s="477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27.6">
      <c r="A283" s="481">
        <v>242</v>
      </c>
      <c r="B283" s="173" t="s">
        <v>156</v>
      </c>
      <c r="C283" s="473" t="str">
        <f t="shared" si="7"/>
        <v>366</v>
      </c>
      <c r="D283" s="474">
        <v>366</v>
      </c>
      <c r="E283" s="173" t="s">
        <v>409</v>
      </c>
      <c r="F283" s="173" t="s">
        <v>2</v>
      </c>
      <c r="G283" s="173">
        <v>23</v>
      </c>
      <c r="H283" s="170" t="s">
        <v>3</v>
      </c>
      <c r="I283" s="372" t="s">
        <v>722</v>
      </c>
      <c r="J283" s="476"/>
      <c r="K283" s="476"/>
      <c r="L283" s="476"/>
      <c r="M283" s="170">
        <v>1</v>
      </c>
      <c r="N283" s="458">
        <v>1</v>
      </c>
      <c r="O283" s="173"/>
      <c r="P283" s="180"/>
      <c r="Q283" s="173">
        <v>0</v>
      </c>
      <c r="R283" s="477">
        <f t="shared" si="6"/>
        <v>1</v>
      </c>
      <c r="S283" s="475"/>
      <c r="T283" s="477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27.6">
      <c r="A284" s="481">
        <v>243</v>
      </c>
      <c r="B284" s="173" t="s">
        <v>156</v>
      </c>
      <c r="C284" s="473" t="str">
        <f t="shared" si="7"/>
        <v>366</v>
      </c>
      <c r="D284" s="474">
        <v>366</v>
      </c>
      <c r="E284" s="173" t="s">
        <v>410</v>
      </c>
      <c r="F284" s="173" t="s">
        <v>2</v>
      </c>
      <c r="G284" s="173">
        <v>32</v>
      </c>
      <c r="H284" s="170" t="s">
        <v>3</v>
      </c>
      <c r="I284" s="372" t="s">
        <v>723</v>
      </c>
      <c r="J284" s="476"/>
      <c r="K284" s="476"/>
      <c r="L284" s="476"/>
      <c r="M284" s="170">
        <v>1</v>
      </c>
      <c r="N284" s="458">
        <v>1</v>
      </c>
      <c r="O284" s="173"/>
      <c r="P284" s="180"/>
      <c r="Q284" s="173"/>
      <c r="R284" s="477">
        <f t="shared" si="6"/>
        <v>1</v>
      </c>
      <c r="S284" s="475"/>
      <c r="T284" s="477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27.6">
      <c r="A285" s="481">
        <v>244</v>
      </c>
      <c r="B285" s="173" t="s">
        <v>156</v>
      </c>
      <c r="C285" s="473" t="str">
        <f t="shared" si="7"/>
        <v>366</v>
      </c>
      <c r="D285" s="474">
        <v>366</v>
      </c>
      <c r="E285" s="173" t="s">
        <v>411</v>
      </c>
      <c r="F285" s="173" t="s">
        <v>2</v>
      </c>
      <c r="G285" s="173">
        <v>24</v>
      </c>
      <c r="H285" s="170" t="s">
        <v>3</v>
      </c>
      <c r="I285" s="372" t="s">
        <v>724</v>
      </c>
      <c r="J285" s="476"/>
      <c r="K285" s="476"/>
      <c r="L285" s="476"/>
      <c r="M285" s="170">
        <v>1</v>
      </c>
      <c r="N285" s="458">
        <v>1</v>
      </c>
      <c r="O285" s="173"/>
      <c r="P285" s="180"/>
      <c r="Q285" s="173">
        <v>0</v>
      </c>
      <c r="R285" s="477">
        <f t="shared" si="6"/>
        <v>1</v>
      </c>
      <c r="S285" s="475"/>
      <c r="T285" s="477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27.6">
      <c r="A286" s="481">
        <v>245</v>
      </c>
      <c r="B286" s="173" t="s">
        <v>168</v>
      </c>
      <c r="C286" s="473" t="str">
        <f t="shared" si="7"/>
        <v>366</v>
      </c>
      <c r="D286" s="474">
        <v>366</v>
      </c>
      <c r="E286" s="173" t="s">
        <v>412</v>
      </c>
      <c r="F286" s="173" t="s">
        <v>2</v>
      </c>
      <c r="G286" s="173">
        <v>23</v>
      </c>
      <c r="H286" s="170" t="s">
        <v>3</v>
      </c>
      <c r="I286" s="372" t="s">
        <v>725</v>
      </c>
      <c r="J286" s="476"/>
      <c r="K286" s="476"/>
      <c r="L286" s="476"/>
      <c r="M286" s="170">
        <v>1</v>
      </c>
      <c r="O286" s="173">
        <v>1</v>
      </c>
      <c r="P286" s="180"/>
      <c r="Q286" s="173">
        <v>0</v>
      </c>
      <c r="R286" s="477">
        <f t="shared" si="6"/>
        <v>1</v>
      </c>
      <c r="S286" s="475"/>
      <c r="T286" s="477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4.4">
      <c r="A287" s="481">
        <v>246</v>
      </c>
      <c r="B287" s="173" t="s">
        <v>168</v>
      </c>
      <c r="C287" s="473" t="str">
        <f t="shared" si="7"/>
        <v>366</v>
      </c>
      <c r="D287" s="474">
        <v>366</v>
      </c>
      <c r="E287" s="173" t="s">
        <v>413</v>
      </c>
      <c r="F287" s="173" t="s">
        <v>4</v>
      </c>
      <c r="G287" s="173">
        <v>21</v>
      </c>
      <c r="H287" s="170" t="s">
        <v>3</v>
      </c>
      <c r="I287" s="372" t="s">
        <v>726</v>
      </c>
      <c r="J287" s="476"/>
      <c r="K287" s="476"/>
      <c r="L287" s="476"/>
      <c r="M287" s="170">
        <v>1</v>
      </c>
      <c r="O287" s="173">
        <v>1</v>
      </c>
      <c r="P287" s="180"/>
      <c r="Q287" s="173"/>
      <c r="R287" s="477">
        <f t="shared" si="6"/>
        <v>1</v>
      </c>
      <c r="S287" s="475"/>
      <c r="T287" s="477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27.6">
      <c r="A288" s="481">
        <v>247</v>
      </c>
      <c r="B288" s="173" t="s">
        <v>168</v>
      </c>
      <c r="C288" s="473" t="str">
        <f t="shared" si="7"/>
        <v>366</v>
      </c>
      <c r="D288" s="474">
        <v>366</v>
      </c>
      <c r="E288" s="173" t="s">
        <v>414</v>
      </c>
      <c r="F288" s="173" t="s">
        <v>4</v>
      </c>
      <c r="G288" s="173">
        <v>20</v>
      </c>
      <c r="H288" s="170" t="s">
        <v>3</v>
      </c>
      <c r="I288" s="372" t="s">
        <v>727</v>
      </c>
      <c r="J288" s="476"/>
      <c r="K288" s="476"/>
      <c r="L288" s="476"/>
      <c r="M288" s="170">
        <v>1</v>
      </c>
      <c r="O288" s="173"/>
      <c r="P288" s="180">
        <v>1</v>
      </c>
      <c r="Q288" s="173">
        <v>1</v>
      </c>
      <c r="R288" s="477">
        <f t="shared" si="6"/>
        <v>1</v>
      </c>
      <c r="S288" s="475"/>
      <c r="T288" s="477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4.4">
      <c r="A289" s="481">
        <v>248</v>
      </c>
      <c r="B289" s="173" t="s">
        <v>168</v>
      </c>
      <c r="C289" s="473" t="str">
        <f t="shared" si="7"/>
        <v>366</v>
      </c>
      <c r="D289" s="474">
        <v>366</v>
      </c>
      <c r="E289" s="173" t="s">
        <v>415</v>
      </c>
      <c r="F289" s="173" t="s">
        <v>2</v>
      </c>
      <c r="G289" s="173">
        <v>25</v>
      </c>
      <c r="H289" s="170" t="s">
        <v>3</v>
      </c>
      <c r="I289" s="372" t="s">
        <v>728</v>
      </c>
      <c r="J289" s="476"/>
      <c r="K289" s="476"/>
      <c r="L289" s="476"/>
      <c r="M289" s="170">
        <v>1</v>
      </c>
      <c r="N289" s="458">
        <v>1</v>
      </c>
      <c r="O289" s="173"/>
      <c r="P289" s="180"/>
      <c r="Q289" s="173">
        <v>1</v>
      </c>
      <c r="R289" s="477">
        <f t="shared" si="6"/>
        <v>1</v>
      </c>
      <c r="S289" s="475"/>
      <c r="T289" s="477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27.6">
      <c r="A290" s="481">
        <v>249</v>
      </c>
      <c r="B290" s="173" t="s">
        <v>168</v>
      </c>
      <c r="C290" s="473" t="str">
        <f t="shared" si="7"/>
        <v>366</v>
      </c>
      <c r="D290" s="474">
        <v>366</v>
      </c>
      <c r="E290" s="173" t="s">
        <v>416</v>
      </c>
      <c r="F290" s="173" t="s">
        <v>2</v>
      </c>
      <c r="G290" s="173">
        <v>23</v>
      </c>
      <c r="H290" s="170" t="s">
        <v>3</v>
      </c>
      <c r="I290" s="372" t="s">
        <v>729</v>
      </c>
      <c r="J290" s="476"/>
      <c r="K290" s="476"/>
      <c r="L290" s="476"/>
      <c r="M290" s="170">
        <v>1</v>
      </c>
      <c r="O290" s="173">
        <v>1</v>
      </c>
      <c r="P290" s="180"/>
      <c r="Q290" s="173"/>
      <c r="R290" s="477">
        <f t="shared" si="6"/>
        <v>1</v>
      </c>
      <c r="S290" s="475"/>
      <c r="T290" s="477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4.4">
      <c r="A291" s="481">
        <v>250</v>
      </c>
      <c r="B291" s="173" t="s">
        <v>159</v>
      </c>
      <c r="C291" s="473" t="str">
        <f t="shared" si="7"/>
        <v>366</v>
      </c>
      <c r="D291" s="474">
        <v>366</v>
      </c>
      <c r="E291" s="173" t="s">
        <v>417</v>
      </c>
      <c r="F291" s="173" t="s">
        <v>2</v>
      </c>
      <c r="G291" s="173">
        <v>19</v>
      </c>
      <c r="H291" s="170" t="s">
        <v>3</v>
      </c>
      <c r="I291" s="372" t="s">
        <v>730</v>
      </c>
      <c r="J291" s="476"/>
      <c r="K291" s="476"/>
      <c r="L291" s="476"/>
      <c r="M291" s="170">
        <v>1</v>
      </c>
      <c r="N291" s="458">
        <v>1</v>
      </c>
      <c r="O291" s="173"/>
      <c r="P291" s="180"/>
      <c r="Q291" s="173"/>
      <c r="R291" s="477">
        <f t="shared" si="6"/>
        <v>1</v>
      </c>
      <c r="S291" s="475"/>
      <c r="T291" s="477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27.6">
      <c r="A292" s="481">
        <v>251</v>
      </c>
      <c r="B292" s="173" t="s">
        <v>159</v>
      </c>
      <c r="C292" s="473" t="str">
        <f t="shared" si="7"/>
        <v>366</v>
      </c>
      <c r="D292" s="474">
        <v>366</v>
      </c>
      <c r="E292" s="173" t="s">
        <v>418</v>
      </c>
      <c r="F292" s="173" t="s">
        <v>2</v>
      </c>
      <c r="G292" s="173">
        <v>22</v>
      </c>
      <c r="H292" s="170" t="s">
        <v>3</v>
      </c>
      <c r="I292" s="372" t="s">
        <v>731</v>
      </c>
      <c r="J292" s="476"/>
      <c r="K292" s="476"/>
      <c r="L292" s="476"/>
      <c r="M292" s="170">
        <v>1</v>
      </c>
      <c r="O292" s="173">
        <v>1</v>
      </c>
      <c r="P292" s="180"/>
      <c r="Q292" s="173"/>
      <c r="R292" s="477">
        <f t="shared" si="6"/>
        <v>1</v>
      </c>
      <c r="S292" s="475"/>
      <c r="T292" s="477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27.6">
      <c r="A293" s="481">
        <v>252</v>
      </c>
      <c r="B293" s="173" t="s">
        <v>159</v>
      </c>
      <c r="C293" s="473" t="str">
        <f t="shared" si="7"/>
        <v>366</v>
      </c>
      <c r="D293" s="474">
        <v>366</v>
      </c>
      <c r="E293" s="173" t="s">
        <v>419</v>
      </c>
      <c r="F293" s="173" t="s">
        <v>2</v>
      </c>
      <c r="G293" s="173">
        <v>22</v>
      </c>
      <c r="H293" s="170" t="s">
        <v>3</v>
      </c>
      <c r="I293" s="372" t="s">
        <v>732</v>
      </c>
      <c r="J293" s="476"/>
      <c r="K293" s="476"/>
      <c r="L293" s="476"/>
      <c r="M293" s="170">
        <v>1</v>
      </c>
      <c r="O293" s="173"/>
      <c r="P293" s="180"/>
      <c r="Q293" s="173">
        <v>0</v>
      </c>
      <c r="R293" s="477">
        <f t="shared" si="6"/>
        <v>1</v>
      </c>
      <c r="S293" s="475"/>
      <c r="T293" s="477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27.6">
      <c r="A294" s="481">
        <v>253</v>
      </c>
      <c r="B294" s="173" t="s">
        <v>159</v>
      </c>
      <c r="C294" s="473" t="str">
        <f t="shared" si="7"/>
        <v>366</v>
      </c>
      <c r="D294" s="474">
        <v>366</v>
      </c>
      <c r="E294" s="173" t="s">
        <v>420</v>
      </c>
      <c r="F294" s="173" t="s">
        <v>4</v>
      </c>
      <c r="G294" s="173">
        <v>19</v>
      </c>
      <c r="H294" s="170" t="s">
        <v>3</v>
      </c>
      <c r="I294" s="372" t="s">
        <v>733</v>
      </c>
      <c r="J294" s="476"/>
      <c r="K294" s="476"/>
      <c r="L294" s="476"/>
      <c r="M294" s="170">
        <v>1</v>
      </c>
      <c r="N294" s="458">
        <v>1</v>
      </c>
      <c r="O294" s="173"/>
      <c r="P294" s="180"/>
      <c r="Q294" s="173">
        <v>1</v>
      </c>
      <c r="R294" s="477">
        <f t="shared" si="6"/>
        <v>1</v>
      </c>
      <c r="S294" s="475"/>
      <c r="T294" s="477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4.4">
      <c r="A295" s="481">
        <v>254</v>
      </c>
      <c r="B295" s="173" t="s">
        <v>166</v>
      </c>
      <c r="C295" s="473" t="str">
        <f t="shared" si="7"/>
        <v>366</v>
      </c>
      <c r="D295" s="474">
        <v>366</v>
      </c>
      <c r="E295" s="173" t="s">
        <v>421</v>
      </c>
      <c r="F295" s="173" t="s">
        <v>2</v>
      </c>
      <c r="G295" s="173">
        <v>23</v>
      </c>
      <c r="H295" s="170" t="s">
        <v>3</v>
      </c>
      <c r="I295" s="372" t="s">
        <v>734</v>
      </c>
      <c r="J295" s="476"/>
      <c r="K295" s="476"/>
      <c r="L295" s="476"/>
      <c r="M295" s="170">
        <v>1</v>
      </c>
      <c r="N295" s="480"/>
      <c r="O295" s="173"/>
      <c r="P295" s="180">
        <v>0</v>
      </c>
      <c r="Q295" s="173">
        <v>1</v>
      </c>
      <c r="R295" s="477">
        <f t="shared" si="6"/>
        <v>1</v>
      </c>
      <c r="S295" s="475"/>
      <c r="T295" s="477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41.4">
      <c r="A296" s="481">
        <v>255</v>
      </c>
      <c r="B296" s="173" t="s">
        <v>166</v>
      </c>
      <c r="C296" s="473" t="str">
        <f t="shared" si="7"/>
        <v>366</v>
      </c>
      <c r="D296" s="474">
        <v>366</v>
      </c>
      <c r="E296" s="173" t="s">
        <v>422</v>
      </c>
      <c r="F296" s="173" t="s">
        <v>2</v>
      </c>
      <c r="G296" s="173">
        <v>24</v>
      </c>
      <c r="H296" s="170" t="s">
        <v>3</v>
      </c>
      <c r="I296" s="372" t="s">
        <v>735</v>
      </c>
      <c r="J296" s="476"/>
      <c r="K296" s="476"/>
      <c r="L296" s="476"/>
      <c r="M296" s="170">
        <v>1</v>
      </c>
      <c r="N296" s="458">
        <v>1</v>
      </c>
      <c r="O296" s="173"/>
      <c r="P296" s="180"/>
      <c r="Q296" s="173">
        <v>1</v>
      </c>
      <c r="R296" s="477">
        <f t="shared" si="6"/>
        <v>1</v>
      </c>
      <c r="S296" s="475"/>
      <c r="T296" s="477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27.6">
      <c r="A297" s="481">
        <v>256</v>
      </c>
      <c r="B297" s="173" t="s">
        <v>166</v>
      </c>
      <c r="C297" s="473" t="str">
        <f t="shared" si="7"/>
        <v>366</v>
      </c>
      <c r="D297" s="474">
        <v>366</v>
      </c>
      <c r="E297" s="173" t="s">
        <v>423</v>
      </c>
      <c r="F297" s="173" t="s">
        <v>2</v>
      </c>
      <c r="G297" s="173">
        <v>25</v>
      </c>
      <c r="H297" s="170" t="s">
        <v>3</v>
      </c>
      <c r="I297" s="372" t="s">
        <v>736</v>
      </c>
      <c r="J297" s="476"/>
      <c r="K297" s="476"/>
      <c r="L297" s="476"/>
      <c r="M297" s="170">
        <v>1</v>
      </c>
      <c r="O297" s="173"/>
      <c r="P297" s="180"/>
      <c r="Q297" s="173">
        <v>1</v>
      </c>
      <c r="R297" s="477">
        <f t="shared" si="6"/>
        <v>1</v>
      </c>
      <c r="S297" s="475"/>
      <c r="T297" s="477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41.4">
      <c r="A298" s="481">
        <v>257</v>
      </c>
      <c r="B298" s="173" t="s">
        <v>166</v>
      </c>
      <c r="C298" s="473" t="str">
        <f t="shared" si="7"/>
        <v>366</v>
      </c>
      <c r="D298" s="474">
        <v>366</v>
      </c>
      <c r="E298" s="173" t="s">
        <v>424</v>
      </c>
      <c r="F298" s="173" t="s">
        <v>4</v>
      </c>
      <c r="G298" s="173">
        <v>25</v>
      </c>
      <c r="H298" s="170" t="s">
        <v>3</v>
      </c>
      <c r="I298" s="372" t="s">
        <v>737</v>
      </c>
      <c r="J298" s="476"/>
      <c r="K298" s="476"/>
      <c r="L298" s="476"/>
      <c r="M298" s="170">
        <v>1</v>
      </c>
      <c r="O298" s="173">
        <v>1</v>
      </c>
      <c r="P298" s="180"/>
      <c r="Q298" s="173">
        <v>1</v>
      </c>
      <c r="R298" s="477">
        <f t="shared" ref="R298:R361" si="8">IF(OR(M298=1,N298=1,O298=1,P298=1,Q298=1),1,0)</f>
        <v>1</v>
      </c>
      <c r="S298" s="475"/>
      <c r="T298" s="477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4.4">
      <c r="A299" s="481">
        <v>258</v>
      </c>
      <c r="B299" s="173" t="s">
        <v>166</v>
      </c>
      <c r="C299" s="473" t="str">
        <f t="shared" ref="C299:C362" si="9">LEFT(D299,3)</f>
        <v>366</v>
      </c>
      <c r="D299" s="474">
        <v>366</v>
      </c>
      <c r="E299" s="173" t="s">
        <v>425</v>
      </c>
      <c r="F299" s="173" t="s">
        <v>4</v>
      </c>
      <c r="G299" s="173">
        <v>21</v>
      </c>
      <c r="H299" s="170" t="s">
        <v>3</v>
      </c>
      <c r="I299" s="372" t="s">
        <v>738</v>
      </c>
      <c r="J299" s="476"/>
      <c r="K299" s="476"/>
      <c r="L299" s="476"/>
      <c r="M299" s="170">
        <v>1</v>
      </c>
      <c r="O299" s="173">
        <v>1</v>
      </c>
      <c r="P299" s="180"/>
      <c r="Q299" s="173"/>
      <c r="R299" s="477">
        <f t="shared" si="8"/>
        <v>1</v>
      </c>
      <c r="S299" s="475"/>
      <c r="T299" s="477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4.4">
      <c r="A300" s="481">
        <v>259</v>
      </c>
      <c r="B300" s="173" t="s">
        <v>166</v>
      </c>
      <c r="C300" s="473" t="str">
        <f t="shared" si="9"/>
        <v>366</v>
      </c>
      <c r="D300" s="474">
        <v>366</v>
      </c>
      <c r="E300" s="173" t="s">
        <v>426</v>
      </c>
      <c r="F300" s="173" t="s">
        <v>4</v>
      </c>
      <c r="G300" s="173">
        <v>20</v>
      </c>
      <c r="H300" s="170" t="s">
        <v>3</v>
      </c>
      <c r="I300" s="372" t="s">
        <v>739</v>
      </c>
      <c r="J300" s="476"/>
      <c r="K300" s="476"/>
      <c r="L300" s="476"/>
      <c r="M300" s="170">
        <v>1</v>
      </c>
      <c r="O300" s="173">
        <v>1</v>
      </c>
      <c r="P300" s="180"/>
      <c r="Q300" s="173">
        <v>0</v>
      </c>
      <c r="R300" s="477">
        <f t="shared" si="8"/>
        <v>1</v>
      </c>
      <c r="S300" s="475"/>
      <c r="T300" s="477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4.4">
      <c r="A301" s="481">
        <v>260</v>
      </c>
      <c r="B301" s="173" t="s">
        <v>166</v>
      </c>
      <c r="C301" s="473" t="str">
        <f t="shared" si="9"/>
        <v>366</v>
      </c>
      <c r="D301" s="474">
        <v>366</v>
      </c>
      <c r="E301" s="173" t="s">
        <v>427</v>
      </c>
      <c r="F301" s="173" t="s">
        <v>4</v>
      </c>
      <c r="G301" s="173">
        <v>20</v>
      </c>
      <c r="H301" s="170" t="s">
        <v>3</v>
      </c>
      <c r="I301" s="372" t="s">
        <v>740</v>
      </c>
      <c r="J301" s="476"/>
      <c r="K301" s="476"/>
      <c r="L301" s="476"/>
      <c r="M301" s="170">
        <v>1</v>
      </c>
      <c r="O301" s="173"/>
      <c r="P301" s="180"/>
      <c r="Q301" s="173">
        <v>0</v>
      </c>
      <c r="R301" s="477">
        <f t="shared" si="8"/>
        <v>1</v>
      </c>
      <c r="S301" s="475"/>
      <c r="T301" s="477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27.6">
      <c r="A302" s="481">
        <v>261</v>
      </c>
      <c r="B302" s="173" t="s">
        <v>166</v>
      </c>
      <c r="C302" s="473" t="str">
        <f t="shared" si="9"/>
        <v>366</v>
      </c>
      <c r="D302" s="474">
        <v>366</v>
      </c>
      <c r="E302" s="173" t="s">
        <v>428</v>
      </c>
      <c r="F302" s="173" t="s">
        <v>2</v>
      </c>
      <c r="G302" s="173">
        <v>18</v>
      </c>
      <c r="H302" s="170" t="s">
        <v>3</v>
      </c>
      <c r="I302" s="372" t="s">
        <v>741</v>
      </c>
      <c r="J302" s="476"/>
      <c r="K302" s="476"/>
      <c r="L302" s="476"/>
      <c r="M302" s="170">
        <v>1</v>
      </c>
      <c r="O302" s="173">
        <v>1</v>
      </c>
      <c r="P302" s="180"/>
      <c r="Q302" s="173">
        <v>0</v>
      </c>
      <c r="R302" s="477">
        <f t="shared" si="8"/>
        <v>1</v>
      </c>
      <c r="S302" s="475"/>
      <c r="T302" s="477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4.4">
      <c r="A303" s="481">
        <v>262</v>
      </c>
      <c r="B303" s="173" t="s">
        <v>166</v>
      </c>
      <c r="C303" s="473" t="str">
        <f t="shared" si="9"/>
        <v>366</v>
      </c>
      <c r="D303" s="474">
        <v>366</v>
      </c>
      <c r="E303" s="173" t="s">
        <v>429</v>
      </c>
      <c r="F303" s="173" t="s">
        <v>4</v>
      </c>
      <c r="G303" s="173">
        <v>29</v>
      </c>
      <c r="H303" s="170" t="s">
        <v>3</v>
      </c>
      <c r="I303" s="372" t="s">
        <v>742</v>
      </c>
      <c r="J303" s="476"/>
      <c r="K303" s="476"/>
      <c r="L303" s="476"/>
      <c r="M303" s="170">
        <v>1</v>
      </c>
      <c r="O303" s="173">
        <v>1</v>
      </c>
      <c r="P303" s="180"/>
      <c r="Q303" s="173">
        <v>1</v>
      </c>
      <c r="R303" s="477">
        <f t="shared" si="8"/>
        <v>1</v>
      </c>
      <c r="S303" s="475"/>
      <c r="T303" s="477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4.4">
      <c r="A304" s="481">
        <v>263</v>
      </c>
      <c r="B304" s="173" t="s">
        <v>166</v>
      </c>
      <c r="C304" s="473" t="str">
        <f t="shared" si="9"/>
        <v>366</v>
      </c>
      <c r="D304" s="474">
        <v>366</v>
      </c>
      <c r="E304" s="173" t="s">
        <v>430</v>
      </c>
      <c r="F304" s="173" t="s">
        <v>2</v>
      </c>
      <c r="G304" s="173">
        <v>21</v>
      </c>
      <c r="H304" s="170" t="s">
        <v>3</v>
      </c>
      <c r="I304" s="372" t="s">
        <v>743</v>
      </c>
      <c r="J304" s="476"/>
      <c r="K304" s="476"/>
      <c r="L304" s="476"/>
      <c r="M304" s="170">
        <v>1</v>
      </c>
      <c r="N304" s="458">
        <v>1</v>
      </c>
      <c r="O304" s="173"/>
      <c r="P304" s="180"/>
      <c r="Q304" s="173">
        <v>0</v>
      </c>
      <c r="R304" s="477">
        <f t="shared" si="8"/>
        <v>1</v>
      </c>
      <c r="S304" s="475"/>
      <c r="T304" s="477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27.6">
      <c r="A305" s="481">
        <v>264</v>
      </c>
      <c r="B305" s="173" t="s">
        <v>166</v>
      </c>
      <c r="C305" s="473" t="str">
        <f t="shared" si="9"/>
        <v>366</v>
      </c>
      <c r="D305" s="474">
        <v>366</v>
      </c>
      <c r="E305" s="173" t="s">
        <v>431</v>
      </c>
      <c r="F305" s="173" t="s">
        <v>2</v>
      </c>
      <c r="G305" s="173">
        <v>21</v>
      </c>
      <c r="H305" s="170" t="s">
        <v>3</v>
      </c>
      <c r="I305" s="372" t="s">
        <v>744</v>
      </c>
      <c r="J305" s="476"/>
      <c r="K305" s="476"/>
      <c r="L305" s="476"/>
      <c r="M305" s="170">
        <v>1</v>
      </c>
      <c r="O305" s="173">
        <v>1</v>
      </c>
      <c r="P305" s="180"/>
      <c r="Q305" s="173">
        <v>0</v>
      </c>
      <c r="R305" s="477">
        <f t="shared" si="8"/>
        <v>1</v>
      </c>
      <c r="S305" s="475"/>
      <c r="T305" s="477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27.6">
      <c r="A306" s="481">
        <v>265</v>
      </c>
      <c r="B306" s="173" t="s">
        <v>168</v>
      </c>
      <c r="C306" s="473" t="str">
        <f t="shared" si="9"/>
        <v>366</v>
      </c>
      <c r="D306" s="474">
        <v>366</v>
      </c>
      <c r="E306" s="173" t="s">
        <v>432</v>
      </c>
      <c r="F306" s="173" t="s">
        <v>2</v>
      </c>
      <c r="G306" s="173">
        <v>22</v>
      </c>
      <c r="H306" s="170" t="s">
        <v>3</v>
      </c>
      <c r="I306" s="372" t="s">
        <v>745</v>
      </c>
      <c r="J306" s="476"/>
      <c r="K306" s="476"/>
      <c r="L306" s="476"/>
      <c r="M306" s="170">
        <v>1</v>
      </c>
      <c r="O306" s="173">
        <v>1</v>
      </c>
      <c r="P306" s="180"/>
      <c r="Q306" s="173">
        <v>1</v>
      </c>
      <c r="R306" s="477">
        <f t="shared" si="8"/>
        <v>1</v>
      </c>
      <c r="S306" s="475"/>
      <c r="T306" s="477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4.4">
      <c r="A307" s="481">
        <v>266</v>
      </c>
      <c r="B307" s="173" t="s">
        <v>168</v>
      </c>
      <c r="C307" s="473" t="str">
        <f t="shared" si="9"/>
        <v>366</v>
      </c>
      <c r="D307" s="474">
        <v>366</v>
      </c>
      <c r="E307" s="173" t="s">
        <v>433</v>
      </c>
      <c r="F307" s="173" t="s">
        <v>2</v>
      </c>
      <c r="G307" s="173">
        <v>25</v>
      </c>
      <c r="H307" s="170" t="s">
        <v>3</v>
      </c>
      <c r="I307" s="372" t="s">
        <v>746</v>
      </c>
      <c r="J307" s="476"/>
      <c r="K307" s="476"/>
      <c r="L307" s="476"/>
      <c r="M307" s="170">
        <v>1</v>
      </c>
      <c r="O307" s="173">
        <v>1</v>
      </c>
      <c r="P307" s="180"/>
      <c r="Q307" s="173"/>
      <c r="R307" s="477">
        <f t="shared" si="8"/>
        <v>1</v>
      </c>
      <c r="S307" s="475"/>
      <c r="T307" s="477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4.4">
      <c r="A308" s="481">
        <v>267</v>
      </c>
      <c r="B308" s="173" t="s">
        <v>168</v>
      </c>
      <c r="C308" s="473" t="str">
        <f t="shared" si="9"/>
        <v>366</v>
      </c>
      <c r="D308" s="474">
        <v>366</v>
      </c>
      <c r="E308" s="173" t="s">
        <v>154</v>
      </c>
      <c r="F308" s="173" t="s">
        <v>2</v>
      </c>
      <c r="G308" s="173">
        <v>22</v>
      </c>
      <c r="H308" s="170" t="s">
        <v>3</v>
      </c>
      <c r="I308" s="372" t="s">
        <v>747</v>
      </c>
      <c r="J308" s="476"/>
      <c r="K308" s="476"/>
      <c r="L308" s="476"/>
      <c r="M308" s="170">
        <v>1</v>
      </c>
      <c r="O308" s="173">
        <v>1</v>
      </c>
      <c r="P308" s="180"/>
      <c r="Q308" s="173">
        <v>1</v>
      </c>
      <c r="R308" s="477">
        <f t="shared" si="8"/>
        <v>1</v>
      </c>
      <c r="S308" s="475"/>
      <c r="T308" s="477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4.4">
      <c r="A309" s="481">
        <v>268</v>
      </c>
      <c r="B309" s="173" t="s">
        <v>166</v>
      </c>
      <c r="C309" s="473" t="str">
        <f t="shared" si="9"/>
        <v>366</v>
      </c>
      <c r="D309" s="474">
        <v>366</v>
      </c>
      <c r="E309" s="173" t="s">
        <v>434</v>
      </c>
      <c r="F309" s="173" t="s">
        <v>2</v>
      </c>
      <c r="G309" s="173">
        <v>19</v>
      </c>
      <c r="H309" s="170" t="s">
        <v>3</v>
      </c>
      <c r="I309" s="372" t="s">
        <v>748</v>
      </c>
      <c r="J309" s="476"/>
      <c r="K309" s="476"/>
      <c r="L309" s="476"/>
      <c r="M309" s="170">
        <v>1</v>
      </c>
      <c r="O309" s="173"/>
      <c r="P309" s="180">
        <v>1</v>
      </c>
      <c r="Q309" s="173">
        <v>1</v>
      </c>
      <c r="R309" s="477">
        <f t="shared" si="8"/>
        <v>1</v>
      </c>
      <c r="S309" s="475"/>
      <c r="T309" s="477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27.6">
      <c r="A310" s="481">
        <v>269</v>
      </c>
      <c r="B310" s="173" t="s">
        <v>168</v>
      </c>
      <c r="C310" s="473" t="str">
        <f t="shared" si="9"/>
        <v>366</v>
      </c>
      <c r="D310" s="474">
        <v>366</v>
      </c>
      <c r="E310" s="173" t="s">
        <v>435</v>
      </c>
      <c r="F310" s="173" t="s">
        <v>2</v>
      </c>
      <c r="G310" s="173">
        <v>20</v>
      </c>
      <c r="H310" s="170" t="s">
        <v>3</v>
      </c>
      <c r="I310" s="372" t="s">
        <v>749</v>
      </c>
      <c r="J310" s="476"/>
      <c r="K310" s="476"/>
      <c r="L310" s="476"/>
      <c r="M310" s="170">
        <v>1</v>
      </c>
      <c r="O310" s="173">
        <v>1</v>
      </c>
      <c r="P310" s="180"/>
      <c r="Q310" s="173">
        <v>1</v>
      </c>
      <c r="R310" s="477">
        <f t="shared" si="8"/>
        <v>1</v>
      </c>
      <c r="S310" s="475"/>
      <c r="T310" s="477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4.4">
      <c r="A311" s="481">
        <v>270</v>
      </c>
      <c r="B311" s="173" t="s">
        <v>168</v>
      </c>
      <c r="C311" s="473" t="str">
        <f t="shared" si="9"/>
        <v>366</v>
      </c>
      <c r="D311" s="474">
        <v>366</v>
      </c>
      <c r="E311" s="173" t="s">
        <v>436</v>
      </c>
      <c r="F311" s="173" t="s">
        <v>2</v>
      </c>
      <c r="G311" s="173">
        <v>24</v>
      </c>
      <c r="H311" s="170" t="s">
        <v>3</v>
      </c>
      <c r="I311" s="372" t="s">
        <v>750</v>
      </c>
      <c r="J311" s="476"/>
      <c r="K311" s="476"/>
      <c r="L311" s="476"/>
      <c r="M311" s="170">
        <v>1</v>
      </c>
      <c r="O311" s="173">
        <v>1</v>
      </c>
      <c r="P311" s="180"/>
      <c r="Q311" s="173">
        <v>1</v>
      </c>
      <c r="R311" s="477">
        <f t="shared" si="8"/>
        <v>1</v>
      </c>
      <c r="S311" s="475"/>
      <c r="T311" s="477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27.6">
      <c r="A312" s="481">
        <v>271</v>
      </c>
      <c r="B312" s="173" t="s">
        <v>168</v>
      </c>
      <c r="C312" s="473" t="str">
        <f t="shared" si="9"/>
        <v>366</v>
      </c>
      <c r="D312" s="474">
        <v>366</v>
      </c>
      <c r="E312" s="173" t="s">
        <v>437</v>
      </c>
      <c r="F312" s="173" t="s">
        <v>2</v>
      </c>
      <c r="G312" s="173">
        <v>22</v>
      </c>
      <c r="H312" s="170" t="s">
        <v>3</v>
      </c>
      <c r="I312" s="372" t="s">
        <v>751</v>
      </c>
      <c r="J312" s="476"/>
      <c r="K312" s="476"/>
      <c r="L312" s="476"/>
      <c r="M312" s="170">
        <v>1</v>
      </c>
      <c r="O312" s="173">
        <v>1</v>
      </c>
      <c r="P312" s="180"/>
      <c r="Q312" s="173"/>
      <c r="R312" s="477">
        <f t="shared" si="8"/>
        <v>1</v>
      </c>
      <c r="S312" s="475"/>
      <c r="T312" s="477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27.6">
      <c r="A313" s="481">
        <v>272</v>
      </c>
      <c r="B313" s="173" t="s">
        <v>168</v>
      </c>
      <c r="C313" s="473" t="str">
        <f t="shared" si="9"/>
        <v>366</v>
      </c>
      <c r="D313" s="474">
        <v>366</v>
      </c>
      <c r="E313" s="173" t="s">
        <v>438</v>
      </c>
      <c r="F313" s="173" t="s">
        <v>2</v>
      </c>
      <c r="G313" s="173">
        <v>22</v>
      </c>
      <c r="H313" s="170" t="s">
        <v>3</v>
      </c>
      <c r="I313" s="372" t="s">
        <v>752</v>
      </c>
      <c r="J313" s="476"/>
      <c r="K313" s="476"/>
      <c r="L313" s="476"/>
      <c r="M313" s="170">
        <v>1</v>
      </c>
      <c r="N313" s="458">
        <v>1</v>
      </c>
      <c r="O313" s="173"/>
      <c r="P313" s="180"/>
      <c r="Q313" s="173"/>
      <c r="R313" s="477">
        <f t="shared" si="8"/>
        <v>1</v>
      </c>
      <c r="S313" s="475"/>
      <c r="T313" s="477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4.4">
      <c r="A314" s="481">
        <v>273</v>
      </c>
      <c r="B314" s="173" t="s">
        <v>168</v>
      </c>
      <c r="C314" s="473" t="str">
        <f t="shared" si="9"/>
        <v>366</v>
      </c>
      <c r="D314" s="474">
        <v>366</v>
      </c>
      <c r="E314" s="173" t="s">
        <v>439</v>
      </c>
      <c r="F314" s="173" t="s">
        <v>2</v>
      </c>
      <c r="G314" s="173">
        <v>20</v>
      </c>
      <c r="H314" s="170" t="s">
        <v>3</v>
      </c>
      <c r="I314" s="372" t="s">
        <v>753</v>
      </c>
      <c r="J314" s="476"/>
      <c r="K314" s="476"/>
      <c r="L314" s="476"/>
      <c r="M314" s="170">
        <v>1</v>
      </c>
      <c r="O314" s="173">
        <v>1</v>
      </c>
      <c r="P314" s="180"/>
      <c r="Q314" s="173"/>
      <c r="R314" s="477">
        <f t="shared" si="8"/>
        <v>1</v>
      </c>
      <c r="S314" s="475"/>
      <c r="T314" s="477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27.6">
      <c r="A315" s="481">
        <v>274</v>
      </c>
      <c r="B315" s="173" t="s">
        <v>166</v>
      </c>
      <c r="C315" s="473" t="str">
        <f t="shared" si="9"/>
        <v>366</v>
      </c>
      <c r="D315" s="474">
        <v>366</v>
      </c>
      <c r="E315" s="173" t="s">
        <v>440</v>
      </c>
      <c r="F315" s="173" t="s">
        <v>2</v>
      </c>
      <c r="G315" s="173">
        <v>22</v>
      </c>
      <c r="H315" s="170" t="s">
        <v>3</v>
      </c>
      <c r="I315" s="372" t="s">
        <v>754</v>
      </c>
      <c r="J315" s="476"/>
      <c r="K315" s="476"/>
      <c r="L315" s="476"/>
      <c r="M315" s="170">
        <v>1</v>
      </c>
      <c r="O315" s="173">
        <v>1</v>
      </c>
      <c r="P315" s="180"/>
      <c r="Q315" s="173">
        <v>0</v>
      </c>
      <c r="R315" s="477">
        <f t="shared" si="8"/>
        <v>1</v>
      </c>
      <c r="S315" s="475"/>
      <c r="T315" s="477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4.4">
      <c r="A316" s="481">
        <v>275</v>
      </c>
      <c r="B316" s="173" t="s">
        <v>166</v>
      </c>
      <c r="C316" s="473" t="str">
        <f t="shared" si="9"/>
        <v>366</v>
      </c>
      <c r="D316" s="474">
        <v>366</v>
      </c>
      <c r="E316" s="173" t="s">
        <v>441</v>
      </c>
      <c r="F316" s="173" t="s">
        <v>2</v>
      </c>
      <c r="G316" s="173">
        <v>27</v>
      </c>
      <c r="H316" s="170" t="s">
        <v>3</v>
      </c>
      <c r="I316" s="372" t="s">
        <v>755</v>
      </c>
      <c r="J316" s="476"/>
      <c r="K316" s="476"/>
      <c r="L316" s="476"/>
      <c r="M316" s="170">
        <v>1</v>
      </c>
      <c r="O316" s="173"/>
      <c r="P316" s="180"/>
      <c r="Q316" s="173"/>
      <c r="R316" s="477">
        <f t="shared" si="8"/>
        <v>1</v>
      </c>
      <c r="S316" s="475"/>
      <c r="T316" s="477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27.6">
      <c r="A317" s="481">
        <v>276</v>
      </c>
      <c r="B317" s="173" t="s">
        <v>168</v>
      </c>
      <c r="C317" s="473" t="str">
        <f t="shared" si="9"/>
        <v>366</v>
      </c>
      <c r="D317" s="474">
        <v>366</v>
      </c>
      <c r="E317" s="173" t="s">
        <v>442</v>
      </c>
      <c r="F317" s="173" t="s">
        <v>2</v>
      </c>
      <c r="G317" s="173">
        <v>18</v>
      </c>
      <c r="H317" s="170" t="s">
        <v>3</v>
      </c>
      <c r="I317" s="372" t="s">
        <v>756</v>
      </c>
      <c r="J317" s="476"/>
      <c r="K317" s="476"/>
      <c r="L317" s="476"/>
      <c r="M317" s="170">
        <v>1</v>
      </c>
      <c r="O317" s="173">
        <v>1</v>
      </c>
      <c r="P317" s="180"/>
      <c r="Q317" s="173"/>
      <c r="R317" s="477">
        <f t="shared" si="8"/>
        <v>1</v>
      </c>
      <c r="S317" s="475"/>
      <c r="T317" s="477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27.6">
      <c r="A318" s="481">
        <v>277</v>
      </c>
      <c r="B318" s="173" t="s">
        <v>168</v>
      </c>
      <c r="C318" s="473" t="str">
        <f t="shared" si="9"/>
        <v>366</v>
      </c>
      <c r="D318" s="474">
        <v>366</v>
      </c>
      <c r="E318" s="173" t="s">
        <v>443</v>
      </c>
      <c r="F318" s="173" t="s">
        <v>2</v>
      </c>
      <c r="G318" s="173">
        <v>22</v>
      </c>
      <c r="H318" s="170" t="s">
        <v>3</v>
      </c>
      <c r="I318" s="372" t="s">
        <v>757</v>
      </c>
      <c r="J318" s="476"/>
      <c r="K318" s="476"/>
      <c r="L318" s="476"/>
      <c r="M318" s="170">
        <v>1</v>
      </c>
      <c r="O318" s="173">
        <v>1</v>
      </c>
      <c r="P318" s="180"/>
      <c r="Q318" s="173"/>
      <c r="R318" s="477">
        <f t="shared" si="8"/>
        <v>1</v>
      </c>
      <c r="S318" s="475"/>
      <c r="T318" s="477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4.4">
      <c r="A319" s="481">
        <v>278</v>
      </c>
      <c r="B319" s="173" t="s">
        <v>168</v>
      </c>
      <c r="C319" s="473" t="str">
        <f t="shared" si="9"/>
        <v>366</v>
      </c>
      <c r="D319" s="474">
        <v>366</v>
      </c>
      <c r="E319" s="173" t="s">
        <v>444</v>
      </c>
      <c r="F319" s="173" t="s">
        <v>2</v>
      </c>
      <c r="G319" s="173">
        <v>21</v>
      </c>
      <c r="H319" s="170" t="s">
        <v>5</v>
      </c>
      <c r="I319" s="372"/>
      <c r="J319" s="476"/>
      <c r="K319" s="476"/>
      <c r="L319" s="476"/>
      <c r="M319" s="170">
        <v>0</v>
      </c>
      <c r="O319" s="173"/>
      <c r="P319" s="180"/>
      <c r="Q319" s="173"/>
      <c r="R319" s="477">
        <f t="shared" si="8"/>
        <v>0</v>
      </c>
      <c r="S319" s="475"/>
      <c r="T319" s="477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27.6">
      <c r="A320" s="481">
        <v>279</v>
      </c>
      <c r="B320" s="173" t="s">
        <v>166</v>
      </c>
      <c r="C320" s="473" t="str">
        <f t="shared" si="9"/>
        <v>366</v>
      </c>
      <c r="D320" s="474">
        <v>366</v>
      </c>
      <c r="E320" s="173" t="s">
        <v>445</v>
      </c>
      <c r="F320" s="173" t="s">
        <v>2</v>
      </c>
      <c r="G320" s="173">
        <v>24</v>
      </c>
      <c r="H320" s="170" t="s">
        <v>3</v>
      </c>
      <c r="I320" s="372" t="s">
        <v>758</v>
      </c>
      <c r="J320" s="476"/>
      <c r="K320" s="476"/>
      <c r="L320" s="476"/>
      <c r="M320" s="170">
        <v>1</v>
      </c>
      <c r="N320" s="458">
        <v>1</v>
      </c>
      <c r="O320" s="173"/>
      <c r="P320" s="180"/>
      <c r="Q320" s="173">
        <v>0</v>
      </c>
      <c r="R320" s="477">
        <f t="shared" si="8"/>
        <v>1</v>
      </c>
      <c r="S320" s="475"/>
      <c r="T320" s="477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41.4">
      <c r="A321" s="481">
        <v>280</v>
      </c>
      <c r="B321" s="173" t="s">
        <v>168</v>
      </c>
      <c r="C321" s="473" t="str">
        <f t="shared" si="9"/>
        <v>366</v>
      </c>
      <c r="D321" s="474">
        <v>366</v>
      </c>
      <c r="E321" s="173" t="s">
        <v>446</v>
      </c>
      <c r="F321" s="173" t="s">
        <v>2</v>
      </c>
      <c r="G321" s="173">
        <v>28</v>
      </c>
      <c r="H321" s="170" t="s">
        <v>3</v>
      </c>
      <c r="I321" s="372" t="s">
        <v>759</v>
      </c>
      <c r="J321" s="476"/>
      <c r="K321" s="476"/>
      <c r="L321" s="476"/>
      <c r="M321" s="170">
        <v>1</v>
      </c>
      <c r="O321" s="173">
        <v>1</v>
      </c>
      <c r="P321" s="180"/>
      <c r="Q321" s="173"/>
      <c r="R321" s="477">
        <f t="shared" si="8"/>
        <v>1</v>
      </c>
      <c r="S321" s="475"/>
      <c r="T321" s="477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27.6">
      <c r="A322" s="481">
        <v>281</v>
      </c>
      <c r="B322" s="173" t="s">
        <v>168</v>
      </c>
      <c r="C322" s="473" t="str">
        <f t="shared" si="9"/>
        <v>366</v>
      </c>
      <c r="D322" s="474">
        <v>366</v>
      </c>
      <c r="E322" s="173" t="s">
        <v>447</v>
      </c>
      <c r="F322" s="173" t="s">
        <v>2</v>
      </c>
      <c r="G322" s="173">
        <v>17</v>
      </c>
      <c r="H322" s="170" t="s">
        <v>3</v>
      </c>
      <c r="I322" s="372" t="s">
        <v>760</v>
      </c>
      <c r="J322" s="476"/>
      <c r="K322" s="476"/>
      <c r="L322" s="476"/>
      <c r="M322" s="170">
        <v>1</v>
      </c>
      <c r="O322" s="173">
        <v>1</v>
      </c>
      <c r="P322" s="180"/>
      <c r="Q322" s="173"/>
      <c r="R322" s="477">
        <f t="shared" si="8"/>
        <v>1</v>
      </c>
      <c r="S322" s="475"/>
      <c r="T322" s="477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4.4">
      <c r="A323" s="481">
        <v>282</v>
      </c>
      <c r="B323" s="173" t="s">
        <v>168</v>
      </c>
      <c r="C323" s="473" t="str">
        <f t="shared" si="9"/>
        <v>366</v>
      </c>
      <c r="D323" s="474">
        <v>366</v>
      </c>
      <c r="E323" s="173" t="s">
        <v>448</v>
      </c>
      <c r="F323" s="173" t="s">
        <v>2</v>
      </c>
      <c r="G323" s="173">
        <v>23</v>
      </c>
      <c r="H323" s="170" t="s">
        <v>3</v>
      </c>
      <c r="I323" s="372" t="s">
        <v>761</v>
      </c>
      <c r="J323" s="476"/>
      <c r="K323" s="476"/>
      <c r="L323" s="476"/>
      <c r="M323" s="170">
        <v>1</v>
      </c>
      <c r="O323" s="173">
        <v>1</v>
      </c>
      <c r="P323" s="180"/>
      <c r="Q323" s="173"/>
      <c r="R323" s="477">
        <f t="shared" si="8"/>
        <v>1</v>
      </c>
      <c r="S323" s="475"/>
      <c r="T323" s="477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4.4">
      <c r="A324" s="481">
        <v>283</v>
      </c>
      <c r="B324" s="173" t="s">
        <v>168</v>
      </c>
      <c r="C324" s="473" t="str">
        <f t="shared" si="9"/>
        <v>366</v>
      </c>
      <c r="D324" s="474">
        <v>366</v>
      </c>
      <c r="E324" s="173" t="s">
        <v>449</v>
      </c>
      <c r="F324" s="173" t="s">
        <v>2</v>
      </c>
      <c r="G324" s="173">
        <v>30</v>
      </c>
      <c r="H324" s="170" t="s">
        <v>3</v>
      </c>
      <c r="I324" s="372" t="s">
        <v>762</v>
      </c>
      <c r="J324" s="476"/>
      <c r="K324" s="476"/>
      <c r="L324" s="476"/>
      <c r="M324" s="170">
        <v>1</v>
      </c>
      <c r="O324" s="173">
        <v>1</v>
      </c>
      <c r="P324" s="180"/>
      <c r="Q324" s="173"/>
      <c r="R324" s="477">
        <f t="shared" si="8"/>
        <v>1</v>
      </c>
      <c r="S324" s="475"/>
      <c r="T324" s="477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4.4">
      <c r="A325" s="481">
        <v>284</v>
      </c>
      <c r="B325" s="173" t="s">
        <v>168</v>
      </c>
      <c r="C325" s="473" t="str">
        <f t="shared" si="9"/>
        <v>366</v>
      </c>
      <c r="D325" s="474">
        <v>366</v>
      </c>
      <c r="E325" s="173" t="s">
        <v>450</v>
      </c>
      <c r="F325" s="173" t="s">
        <v>2</v>
      </c>
      <c r="G325" s="173">
        <v>22</v>
      </c>
      <c r="H325" s="170" t="s">
        <v>3</v>
      </c>
      <c r="I325" s="372" t="s">
        <v>763</v>
      </c>
      <c r="J325" s="476"/>
      <c r="K325" s="476"/>
      <c r="L325" s="476"/>
      <c r="M325" s="170">
        <v>1</v>
      </c>
      <c r="O325" s="173">
        <v>1</v>
      </c>
      <c r="P325" s="180"/>
      <c r="Q325" s="173"/>
      <c r="R325" s="477">
        <f t="shared" si="8"/>
        <v>1</v>
      </c>
      <c r="S325" s="475"/>
      <c r="T325" s="477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27.6">
      <c r="A326" s="481">
        <v>285</v>
      </c>
      <c r="B326" s="173" t="s">
        <v>168</v>
      </c>
      <c r="C326" s="473" t="str">
        <f t="shared" si="9"/>
        <v>366</v>
      </c>
      <c r="D326" s="474">
        <v>366</v>
      </c>
      <c r="E326" s="173" t="s">
        <v>451</v>
      </c>
      <c r="F326" s="173" t="s">
        <v>4</v>
      </c>
      <c r="G326" s="173">
        <v>22</v>
      </c>
      <c r="H326" s="170" t="s">
        <v>3</v>
      </c>
      <c r="I326" s="372" t="s">
        <v>764</v>
      </c>
      <c r="J326" s="476"/>
      <c r="K326" s="476"/>
      <c r="L326" s="476"/>
      <c r="M326" s="170">
        <v>1</v>
      </c>
      <c r="O326" s="173">
        <v>1</v>
      </c>
      <c r="P326" s="180"/>
      <c r="Q326" s="173"/>
      <c r="R326" s="477">
        <f t="shared" si="8"/>
        <v>1</v>
      </c>
      <c r="S326" s="475"/>
      <c r="T326" s="477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4.4">
      <c r="A327" s="481">
        <v>286</v>
      </c>
      <c r="B327" s="173" t="s">
        <v>166</v>
      </c>
      <c r="C327" s="473" t="str">
        <f t="shared" si="9"/>
        <v>366</v>
      </c>
      <c r="D327" s="474">
        <v>366</v>
      </c>
      <c r="E327" s="173" t="s">
        <v>452</v>
      </c>
      <c r="F327" s="173" t="s">
        <v>2</v>
      </c>
      <c r="G327" s="173">
        <v>28</v>
      </c>
      <c r="H327" s="170" t="s">
        <v>3</v>
      </c>
      <c r="I327" s="372" t="s">
        <v>765</v>
      </c>
      <c r="J327" s="476"/>
      <c r="K327" s="476"/>
      <c r="L327" s="476"/>
      <c r="M327" s="170">
        <v>1</v>
      </c>
      <c r="O327" s="173">
        <v>1</v>
      </c>
      <c r="P327" s="180"/>
      <c r="Q327" s="173">
        <v>1</v>
      </c>
      <c r="R327" s="477">
        <f t="shared" si="8"/>
        <v>1</v>
      </c>
      <c r="S327" s="475"/>
      <c r="T327" s="477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4.4">
      <c r="A328" s="481">
        <v>287</v>
      </c>
      <c r="B328" s="173" t="s">
        <v>168</v>
      </c>
      <c r="C328" s="473" t="str">
        <f t="shared" si="9"/>
        <v>366</v>
      </c>
      <c r="D328" s="474">
        <v>366</v>
      </c>
      <c r="E328" s="173" t="s">
        <v>453</v>
      </c>
      <c r="F328" s="173" t="s">
        <v>2</v>
      </c>
      <c r="G328" s="173">
        <v>20</v>
      </c>
      <c r="H328" s="170" t="s">
        <v>3</v>
      </c>
      <c r="I328" s="372" t="s">
        <v>766</v>
      </c>
      <c r="J328" s="476"/>
      <c r="K328" s="476"/>
      <c r="L328" s="476"/>
      <c r="M328" s="170">
        <v>1</v>
      </c>
      <c r="O328" s="173">
        <v>1</v>
      </c>
      <c r="P328" s="180"/>
      <c r="Q328" s="173"/>
      <c r="R328" s="477">
        <f t="shared" si="8"/>
        <v>1</v>
      </c>
      <c r="S328" s="475"/>
      <c r="T328" s="477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41.4">
      <c r="A329" s="481">
        <v>288</v>
      </c>
      <c r="B329" s="173" t="s">
        <v>166</v>
      </c>
      <c r="C329" s="473" t="str">
        <f t="shared" si="9"/>
        <v>366</v>
      </c>
      <c r="D329" s="474">
        <v>366</v>
      </c>
      <c r="E329" s="173" t="s">
        <v>454</v>
      </c>
      <c r="F329" s="173" t="s">
        <v>2</v>
      </c>
      <c r="G329" s="173">
        <v>27</v>
      </c>
      <c r="H329" s="170" t="s">
        <v>3</v>
      </c>
      <c r="I329" s="372" t="s">
        <v>767</v>
      </c>
      <c r="J329" s="476"/>
      <c r="K329" s="476"/>
      <c r="L329" s="476"/>
      <c r="M329" s="170">
        <v>1</v>
      </c>
      <c r="N329" s="458">
        <v>1</v>
      </c>
      <c r="O329" s="173"/>
      <c r="P329" s="180"/>
      <c r="Q329" s="173">
        <v>0</v>
      </c>
      <c r="R329" s="477">
        <f t="shared" si="8"/>
        <v>1</v>
      </c>
      <c r="S329" s="475"/>
      <c r="T329" s="477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27.6">
      <c r="A330" s="481">
        <v>289</v>
      </c>
      <c r="B330" s="173" t="s">
        <v>168</v>
      </c>
      <c r="C330" s="473" t="str">
        <f t="shared" si="9"/>
        <v>366</v>
      </c>
      <c r="D330" s="474">
        <v>366</v>
      </c>
      <c r="E330" s="173" t="s">
        <v>455</v>
      </c>
      <c r="F330" s="173" t="s">
        <v>2</v>
      </c>
      <c r="G330" s="173">
        <v>18</v>
      </c>
      <c r="H330" s="170" t="s">
        <v>3</v>
      </c>
      <c r="I330" s="372" t="s">
        <v>768</v>
      </c>
      <c r="J330" s="476"/>
      <c r="K330" s="476"/>
      <c r="L330" s="476"/>
      <c r="M330" s="170">
        <v>1</v>
      </c>
      <c r="O330" s="173">
        <v>1</v>
      </c>
      <c r="P330" s="180"/>
      <c r="Q330" s="173"/>
      <c r="R330" s="477">
        <f t="shared" si="8"/>
        <v>1</v>
      </c>
      <c r="S330" s="475"/>
      <c r="T330" s="477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27.6">
      <c r="A331" s="481">
        <v>290</v>
      </c>
      <c r="B331" s="173" t="s">
        <v>166</v>
      </c>
      <c r="C331" s="473" t="str">
        <f t="shared" si="9"/>
        <v>366</v>
      </c>
      <c r="D331" s="474">
        <v>366</v>
      </c>
      <c r="E331" s="173" t="s">
        <v>456</v>
      </c>
      <c r="F331" s="173" t="s">
        <v>2</v>
      </c>
      <c r="G331" s="173">
        <v>21</v>
      </c>
      <c r="H331" s="170" t="s">
        <v>3</v>
      </c>
      <c r="I331" s="372" t="s">
        <v>769</v>
      </c>
      <c r="J331" s="476"/>
      <c r="K331" s="476"/>
      <c r="L331" s="476"/>
      <c r="M331" s="170">
        <v>1</v>
      </c>
      <c r="N331" s="458">
        <v>1</v>
      </c>
      <c r="O331" s="173"/>
      <c r="P331" s="180"/>
      <c r="Q331" s="173"/>
      <c r="R331" s="477">
        <f t="shared" si="8"/>
        <v>1</v>
      </c>
      <c r="S331" s="475"/>
      <c r="T331" s="477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4.4">
      <c r="A332" s="481">
        <v>291</v>
      </c>
      <c r="B332" s="173" t="s">
        <v>166</v>
      </c>
      <c r="C332" s="473" t="str">
        <f t="shared" si="9"/>
        <v>366</v>
      </c>
      <c r="D332" s="474">
        <v>366</v>
      </c>
      <c r="E332" s="173" t="s">
        <v>457</v>
      </c>
      <c r="F332" s="173" t="s">
        <v>2</v>
      </c>
      <c r="G332" s="173">
        <v>22</v>
      </c>
      <c r="H332" s="170" t="s">
        <v>3</v>
      </c>
      <c r="I332" s="372" t="s">
        <v>770</v>
      </c>
      <c r="J332" s="476"/>
      <c r="K332" s="476"/>
      <c r="L332" s="476"/>
      <c r="M332" s="170">
        <v>1</v>
      </c>
      <c r="O332" s="173">
        <v>1</v>
      </c>
      <c r="P332" s="180"/>
      <c r="Q332" s="173"/>
      <c r="R332" s="477">
        <f t="shared" si="8"/>
        <v>1</v>
      </c>
      <c r="S332" s="475"/>
      <c r="T332" s="477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55.2">
      <c r="A333" s="481">
        <v>292</v>
      </c>
      <c r="B333" s="173" t="s">
        <v>159</v>
      </c>
      <c r="C333" s="473" t="str">
        <f t="shared" si="9"/>
        <v>366</v>
      </c>
      <c r="D333" s="474">
        <v>366</v>
      </c>
      <c r="E333" s="173" t="s">
        <v>458</v>
      </c>
      <c r="F333" s="173" t="s">
        <v>2</v>
      </c>
      <c r="G333" s="173">
        <v>21</v>
      </c>
      <c r="H333" s="170" t="s">
        <v>3</v>
      </c>
      <c r="I333" s="372" t="s">
        <v>771</v>
      </c>
      <c r="J333" s="476"/>
      <c r="K333" s="476"/>
      <c r="L333" s="476"/>
      <c r="M333" s="170">
        <v>1</v>
      </c>
      <c r="O333" s="173">
        <v>1</v>
      </c>
      <c r="P333" s="180"/>
      <c r="Q333" s="173"/>
      <c r="R333" s="477">
        <f t="shared" si="8"/>
        <v>1</v>
      </c>
      <c r="S333" s="475"/>
      <c r="T333" s="477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69">
      <c r="A334" s="481">
        <v>293</v>
      </c>
      <c r="B334" s="173" t="s">
        <v>159</v>
      </c>
      <c r="C334" s="473" t="str">
        <f t="shared" si="9"/>
        <v>366</v>
      </c>
      <c r="D334" s="474">
        <v>366</v>
      </c>
      <c r="E334" s="173" t="s">
        <v>459</v>
      </c>
      <c r="F334" s="173" t="s">
        <v>2</v>
      </c>
      <c r="G334" s="173">
        <v>28</v>
      </c>
      <c r="H334" s="170" t="s">
        <v>3</v>
      </c>
      <c r="I334" s="372" t="s">
        <v>772</v>
      </c>
      <c r="J334" s="476"/>
      <c r="K334" s="476"/>
      <c r="L334" s="476"/>
      <c r="M334" s="170">
        <v>1</v>
      </c>
      <c r="N334" s="170">
        <v>1</v>
      </c>
      <c r="O334" s="173"/>
      <c r="P334" s="180"/>
      <c r="Q334" s="173">
        <v>0</v>
      </c>
      <c r="R334" s="477">
        <f t="shared" si="8"/>
        <v>1</v>
      </c>
      <c r="S334" s="475"/>
      <c r="T334" s="477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27.6">
      <c r="A335" s="481">
        <v>294</v>
      </c>
      <c r="B335" s="173" t="s">
        <v>159</v>
      </c>
      <c r="C335" s="473" t="str">
        <f t="shared" si="9"/>
        <v>366</v>
      </c>
      <c r="D335" s="474">
        <v>366</v>
      </c>
      <c r="E335" s="173" t="s">
        <v>460</v>
      </c>
      <c r="F335" s="173" t="s">
        <v>2</v>
      </c>
      <c r="G335" s="173">
        <v>23</v>
      </c>
      <c r="H335" s="170" t="s">
        <v>3</v>
      </c>
      <c r="I335" s="372" t="s">
        <v>773</v>
      </c>
      <c r="J335" s="476"/>
      <c r="K335" s="476"/>
      <c r="L335" s="476"/>
      <c r="M335" s="170">
        <v>1</v>
      </c>
      <c r="N335" s="170">
        <v>1</v>
      </c>
      <c r="O335" s="173"/>
      <c r="P335" s="180"/>
      <c r="Q335" s="173">
        <v>1</v>
      </c>
      <c r="R335" s="477">
        <f t="shared" si="8"/>
        <v>1</v>
      </c>
      <c r="S335" s="475"/>
      <c r="T335" s="477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27.6">
      <c r="A336" s="481">
        <v>295</v>
      </c>
      <c r="B336" s="173" t="s">
        <v>159</v>
      </c>
      <c r="C336" s="473" t="str">
        <f t="shared" si="9"/>
        <v>366</v>
      </c>
      <c r="D336" s="474">
        <v>366</v>
      </c>
      <c r="E336" s="173" t="s">
        <v>461</v>
      </c>
      <c r="F336" s="173" t="s">
        <v>2</v>
      </c>
      <c r="G336" s="173">
        <v>27</v>
      </c>
      <c r="H336" s="170" t="s">
        <v>3</v>
      </c>
      <c r="I336" s="372" t="s">
        <v>774</v>
      </c>
      <c r="J336" s="476"/>
      <c r="K336" s="476"/>
      <c r="L336" s="476"/>
      <c r="M336" s="170">
        <v>1</v>
      </c>
      <c r="O336" s="173">
        <v>0</v>
      </c>
      <c r="P336" s="180"/>
      <c r="Q336" s="173">
        <v>0</v>
      </c>
      <c r="R336" s="477">
        <f t="shared" si="8"/>
        <v>1</v>
      </c>
      <c r="S336" s="475"/>
      <c r="T336" s="477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27.6">
      <c r="A337" s="481">
        <v>296</v>
      </c>
      <c r="B337" s="173" t="s">
        <v>159</v>
      </c>
      <c r="C337" s="473" t="str">
        <f t="shared" si="9"/>
        <v>366</v>
      </c>
      <c r="D337" s="474">
        <v>366</v>
      </c>
      <c r="E337" s="173" t="s">
        <v>462</v>
      </c>
      <c r="F337" s="173" t="s">
        <v>2</v>
      </c>
      <c r="G337" s="173">
        <v>22</v>
      </c>
      <c r="H337" s="170" t="s">
        <v>3</v>
      </c>
      <c r="I337" s="372" t="s">
        <v>775</v>
      </c>
      <c r="J337" s="476"/>
      <c r="K337" s="476"/>
      <c r="L337" s="476"/>
      <c r="M337" s="170">
        <v>1</v>
      </c>
      <c r="N337" s="170">
        <v>1</v>
      </c>
      <c r="O337" s="173"/>
      <c r="P337" s="180"/>
      <c r="Q337" s="173">
        <v>0</v>
      </c>
      <c r="R337" s="477">
        <f t="shared" si="8"/>
        <v>1</v>
      </c>
      <c r="S337" s="475"/>
      <c r="T337" s="477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27.6">
      <c r="A338" s="481">
        <v>297</v>
      </c>
      <c r="B338" s="173" t="s">
        <v>159</v>
      </c>
      <c r="C338" s="473" t="str">
        <f t="shared" si="9"/>
        <v>366</v>
      </c>
      <c r="D338" s="474">
        <v>366</v>
      </c>
      <c r="E338" s="173" t="s">
        <v>463</v>
      </c>
      <c r="F338" s="173" t="s">
        <v>2</v>
      </c>
      <c r="G338" s="173">
        <v>21</v>
      </c>
      <c r="H338" s="170" t="s">
        <v>3</v>
      </c>
      <c r="I338" s="372" t="s">
        <v>776</v>
      </c>
      <c r="J338" s="476"/>
      <c r="K338" s="476"/>
      <c r="L338" s="476"/>
      <c r="M338" s="170">
        <v>1</v>
      </c>
      <c r="O338" s="173">
        <v>0</v>
      </c>
      <c r="P338" s="180"/>
      <c r="Q338" s="173">
        <v>0</v>
      </c>
      <c r="R338" s="477">
        <f t="shared" si="8"/>
        <v>1</v>
      </c>
      <c r="S338" s="475"/>
      <c r="T338" s="477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27.6">
      <c r="A339" s="481">
        <v>298</v>
      </c>
      <c r="B339" s="173" t="s">
        <v>159</v>
      </c>
      <c r="C339" s="473" t="str">
        <f t="shared" si="9"/>
        <v>366</v>
      </c>
      <c r="D339" s="474">
        <v>366</v>
      </c>
      <c r="E339" s="173" t="s">
        <v>464</v>
      </c>
      <c r="F339" s="173" t="s">
        <v>2</v>
      </c>
      <c r="G339" s="173">
        <v>20</v>
      </c>
      <c r="H339" s="170" t="s">
        <v>3</v>
      </c>
      <c r="I339" s="372" t="s">
        <v>777</v>
      </c>
      <c r="J339" s="476"/>
      <c r="K339" s="476"/>
      <c r="L339" s="476"/>
      <c r="M339" s="170">
        <v>1</v>
      </c>
      <c r="O339" s="173">
        <v>0</v>
      </c>
      <c r="P339" s="180"/>
      <c r="Q339" s="173">
        <v>1</v>
      </c>
      <c r="R339" s="477">
        <f t="shared" si="8"/>
        <v>1</v>
      </c>
      <c r="S339" s="475"/>
      <c r="T339" s="477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41.4">
      <c r="A340" s="481">
        <v>299</v>
      </c>
      <c r="B340" s="173" t="s">
        <v>159</v>
      </c>
      <c r="C340" s="473" t="str">
        <f t="shared" si="9"/>
        <v>366</v>
      </c>
      <c r="D340" s="474">
        <v>366</v>
      </c>
      <c r="E340" s="173" t="s">
        <v>465</v>
      </c>
      <c r="F340" s="173" t="s">
        <v>2</v>
      </c>
      <c r="G340" s="173">
        <v>18</v>
      </c>
      <c r="H340" s="170" t="s">
        <v>3</v>
      </c>
      <c r="I340" s="372" t="s">
        <v>778</v>
      </c>
      <c r="J340" s="476"/>
      <c r="K340" s="476"/>
      <c r="L340" s="476"/>
      <c r="M340" s="170">
        <v>1</v>
      </c>
      <c r="O340" s="173">
        <v>0</v>
      </c>
      <c r="P340" s="180"/>
      <c r="Q340" s="173"/>
      <c r="R340" s="477">
        <f t="shared" si="8"/>
        <v>1</v>
      </c>
      <c r="S340" s="475"/>
      <c r="T340" s="477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27.6">
      <c r="A341" s="481">
        <v>300</v>
      </c>
      <c r="B341" s="173" t="s">
        <v>159</v>
      </c>
      <c r="C341" s="473" t="str">
        <f t="shared" si="9"/>
        <v>366</v>
      </c>
      <c r="D341" s="474">
        <v>366</v>
      </c>
      <c r="E341" s="173" t="s">
        <v>466</v>
      </c>
      <c r="F341" s="173" t="s">
        <v>4</v>
      </c>
      <c r="G341" s="173">
        <v>28</v>
      </c>
      <c r="H341" s="170" t="s">
        <v>3</v>
      </c>
      <c r="I341" s="372" t="s">
        <v>779</v>
      </c>
      <c r="J341" s="476"/>
      <c r="K341" s="476"/>
      <c r="L341" s="476"/>
      <c r="M341" s="170">
        <v>1</v>
      </c>
      <c r="O341" s="173">
        <v>0</v>
      </c>
      <c r="P341" s="180"/>
      <c r="Q341" s="173">
        <v>0</v>
      </c>
      <c r="R341" s="477">
        <f t="shared" si="8"/>
        <v>1</v>
      </c>
      <c r="S341" s="475"/>
      <c r="T341" s="477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55.2">
      <c r="A342" s="481">
        <v>301</v>
      </c>
      <c r="B342" s="173" t="s">
        <v>159</v>
      </c>
      <c r="C342" s="473" t="str">
        <f t="shared" si="9"/>
        <v>366</v>
      </c>
      <c r="D342" s="474">
        <v>366</v>
      </c>
      <c r="E342" s="173" t="s">
        <v>467</v>
      </c>
      <c r="F342" s="173" t="s">
        <v>2</v>
      </c>
      <c r="G342" s="173">
        <v>20</v>
      </c>
      <c r="H342" s="170" t="s">
        <v>3</v>
      </c>
      <c r="I342" s="372" t="s">
        <v>780</v>
      </c>
      <c r="J342" s="476"/>
      <c r="K342" s="476"/>
      <c r="L342" s="476"/>
      <c r="M342" s="170">
        <v>1</v>
      </c>
      <c r="O342" s="173"/>
      <c r="P342" s="180">
        <v>1</v>
      </c>
      <c r="Q342" s="173"/>
      <c r="R342" s="477">
        <f t="shared" si="8"/>
        <v>1</v>
      </c>
      <c r="S342" s="475"/>
      <c r="T342" s="477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41.4">
      <c r="A343" s="481">
        <v>302</v>
      </c>
      <c r="B343" s="173" t="s">
        <v>159</v>
      </c>
      <c r="C343" s="473" t="str">
        <f t="shared" si="9"/>
        <v>366</v>
      </c>
      <c r="D343" s="474">
        <v>366</v>
      </c>
      <c r="E343" s="173" t="s">
        <v>468</v>
      </c>
      <c r="F343" s="173" t="s">
        <v>2</v>
      </c>
      <c r="G343" s="173">
        <v>26</v>
      </c>
      <c r="H343" s="170" t="s">
        <v>3</v>
      </c>
      <c r="I343" s="372" t="s">
        <v>781</v>
      </c>
      <c r="J343" s="476"/>
      <c r="K343" s="476"/>
      <c r="L343" s="476"/>
      <c r="M343" s="170">
        <v>1</v>
      </c>
      <c r="O343" s="173"/>
      <c r="P343" s="180"/>
      <c r="Q343" s="173"/>
      <c r="R343" s="477">
        <f t="shared" si="8"/>
        <v>1</v>
      </c>
      <c r="S343" s="475"/>
      <c r="T343" s="477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27.6">
      <c r="A344" s="481">
        <v>303</v>
      </c>
      <c r="B344" s="173" t="s">
        <v>159</v>
      </c>
      <c r="C344" s="473" t="str">
        <f t="shared" si="9"/>
        <v>366</v>
      </c>
      <c r="D344" s="474">
        <v>366</v>
      </c>
      <c r="E344" s="173" t="s">
        <v>469</v>
      </c>
      <c r="F344" s="173" t="s">
        <v>2</v>
      </c>
      <c r="G344" s="173">
        <v>24</v>
      </c>
      <c r="H344" s="170" t="s">
        <v>3</v>
      </c>
      <c r="I344" s="372" t="s">
        <v>782</v>
      </c>
      <c r="J344" s="476"/>
      <c r="K344" s="476"/>
      <c r="L344" s="476"/>
      <c r="M344" s="170">
        <v>1</v>
      </c>
      <c r="O344" s="173">
        <v>1</v>
      </c>
      <c r="P344" s="180"/>
      <c r="Q344" s="173"/>
      <c r="R344" s="477">
        <f t="shared" si="8"/>
        <v>1</v>
      </c>
      <c r="S344" s="475"/>
      <c r="T344" s="477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27.6">
      <c r="A345" s="481">
        <v>304</v>
      </c>
      <c r="B345" s="173" t="s">
        <v>159</v>
      </c>
      <c r="C345" s="473" t="str">
        <f t="shared" si="9"/>
        <v>366</v>
      </c>
      <c r="D345" s="474">
        <v>366</v>
      </c>
      <c r="E345" s="173" t="s">
        <v>470</v>
      </c>
      <c r="F345" s="173" t="s">
        <v>2</v>
      </c>
      <c r="G345" s="173">
        <v>28</v>
      </c>
      <c r="H345" s="170" t="s">
        <v>3</v>
      </c>
      <c r="I345" s="372" t="s">
        <v>783</v>
      </c>
      <c r="J345" s="476"/>
      <c r="K345" s="476"/>
      <c r="L345" s="476"/>
      <c r="M345" s="170">
        <v>1</v>
      </c>
      <c r="O345" s="173">
        <v>0</v>
      </c>
      <c r="P345" s="180"/>
      <c r="Q345" s="173">
        <v>0</v>
      </c>
      <c r="R345" s="477">
        <f t="shared" si="8"/>
        <v>1</v>
      </c>
      <c r="S345" s="475"/>
      <c r="T345" s="477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41.4">
      <c r="A346" s="481">
        <v>305</v>
      </c>
      <c r="B346" s="173" t="s">
        <v>159</v>
      </c>
      <c r="C346" s="473" t="str">
        <f t="shared" si="9"/>
        <v>366</v>
      </c>
      <c r="D346" s="474">
        <v>366</v>
      </c>
      <c r="E346" s="173" t="s">
        <v>471</v>
      </c>
      <c r="F346" s="173" t="s">
        <v>2</v>
      </c>
      <c r="G346" s="173">
        <v>23</v>
      </c>
      <c r="H346" s="170" t="s">
        <v>3</v>
      </c>
      <c r="I346" s="372" t="s">
        <v>784</v>
      </c>
      <c r="J346" s="476"/>
      <c r="K346" s="476"/>
      <c r="L346" s="476"/>
      <c r="M346" s="170">
        <v>1</v>
      </c>
      <c r="N346" s="170">
        <v>1</v>
      </c>
      <c r="O346" s="173"/>
      <c r="P346" s="180"/>
      <c r="Q346" s="173"/>
      <c r="R346" s="477">
        <f t="shared" si="8"/>
        <v>1</v>
      </c>
      <c r="S346" s="475"/>
      <c r="T346" s="477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41.4">
      <c r="A347" s="481">
        <v>306</v>
      </c>
      <c r="B347" s="173" t="s">
        <v>159</v>
      </c>
      <c r="C347" s="473" t="str">
        <f t="shared" si="9"/>
        <v>366</v>
      </c>
      <c r="D347" s="474">
        <v>366</v>
      </c>
      <c r="E347" s="173" t="s">
        <v>472</v>
      </c>
      <c r="F347" s="173" t="s">
        <v>2</v>
      </c>
      <c r="G347" s="173">
        <v>29</v>
      </c>
      <c r="H347" s="170" t="s">
        <v>3</v>
      </c>
      <c r="I347" s="372" t="s">
        <v>785</v>
      </c>
      <c r="J347" s="476"/>
      <c r="K347" s="476"/>
      <c r="L347" s="476"/>
      <c r="M347" s="170">
        <v>1</v>
      </c>
      <c r="N347" s="170">
        <v>1</v>
      </c>
      <c r="O347" s="173"/>
      <c r="P347" s="180"/>
      <c r="Q347" s="173">
        <v>0</v>
      </c>
      <c r="R347" s="477">
        <f t="shared" si="8"/>
        <v>1</v>
      </c>
      <c r="S347" s="475"/>
      <c r="T347" s="477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4.4">
      <c r="A348" s="481">
        <v>307</v>
      </c>
      <c r="B348" s="173" t="s">
        <v>163</v>
      </c>
      <c r="C348" s="473" t="str">
        <f t="shared" si="9"/>
        <v>366</v>
      </c>
      <c r="D348" s="474">
        <v>366</v>
      </c>
      <c r="E348" s="173" t="s">
        <v>473</v>
      </c>
      <c r="F348" s="173" t="s">
        <v>2</v>
      </c>
      <c r="G348" s="173">
        <v>17</v>
      </c>
      <c r="H348" s="170" t="s">
        <v>3</v>
      </c>
      <c r="I348" s="372" t="s">
        <v>786</v>
      </c>
      <c r="J348" s="476"/>
      <c r="K348" s="476"/>
      <c r="L348" s="476"/>
      <c r="M348" s="170">
        <v>1</v>
      </c>
      <c r="N348" s="170">
        <v>1</v>
      </c>
      <c r="O348" s="173"/>
      <c r="P348" s="180"/>
      <c r="Q348" s="173"/>
      <c r="R348" s="477">
        <f t="shared" si="8"/>
        <v>1</v>
      </c>
      <c r="S348" s="475"/>
      <c r="T348" s="477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4.4">
      <c r="A349" s="481">
        <v>308</v>
      </c>
      <c r="B349" s="173" t="s">
        <v>163</v>
      </c>
      <c r="C349" s="473" t="str">
        <f t="shared" si="9"/>
        <v>366</v>
      </c>
      <c r="D349" s="474">
        <v>366</v>
      </c>
      <c r="E349" s="173" t="s">
        <v>474</v>
      </c>
      <c r="F349" s="173" t="s">
        <v>2</v>
      </c>
      <c r="G349" s="173">
        <v>22</v>
      </c>
      <c r="H349" s="170" t="s">
        <v>3</v>
      </c>
      <c r="I349" s="372" t="s">
        <v>787</v>
      </c>
      <c r="J349" s="476"/>
      <c r="K349" s="476"/>
      <c r="L349" s="476"/>
      <c r="M349" s="170">
        <v>1</v>
      </c>
      <c r="O349" s="173">
        <v>1</v>
      </c>
      <c r="P349" s="180"/>
      <c r="Q349" s="173"/>
      <c r="R349" s="477">
        <f t="shared" si="8"/>
        <v>1</v>
      </c>
      <c r="S349" s="475"/>
      <c r="T349" s="477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4.4">
      <c r="A350" s="481">
        <v>309</v>
      </c>
      <c r="B350" s="173" t="s">
        <v>163</v>
      </c>
      <c r="C350" s="473" t="str">
        <f t="shared" si="9"/>
        <v>366</v>
      </c>
      <c r="D350" s="474">
        <v>366</v>
      </c>
      <c r="E350" s="173" t="s">
        <v>475</v>
      </c>
      <c r="F350" s="173" t="s">
        <v>2</v>
      </c>
      <c r="G350" s="173">
        <v>17</v>
      </c>
      <c r="H350" s="170" t="s">
        <v>3</v>
      </c>
      <c r="I350" s="372" t="s">
        <v>788</v>
      </c>
      <c r="J350" s="476"/>
      <c r="K350" s="476"/>
      <c r="L350" s="476"/>
      <c r="M350" s="170">
        <v>1</v>
      </c>
      <c r="N350" s="170">
        <v>1</v>
      </c>
      <c r="O350" s="173"/>
      <c r="P350" s="180"/>
      <c r="Q350" s="173">
        <v>1</v>
      </c>
      <c r="R350" s="477">
        <f t="shared" si="8"/>
        <v>1</v>
      </c>
      <c r="S350" s="475"/>
      <c r="T350" s="477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4.4">
      <c r="A351" s="481">
        <v>310</v>
      </c>
      <c r="B351" s="173" t="s">
        <v>163</v>
      </c>
      <c r="C351" s="473" t="str">
        <f t="shared" si="9"/>
        <v>366</v>
      </c>
      <c r="D351" s="474">
        <v>366</v>
      </c>
      <c r="E351" s="173" t="s">
        <v>476</v>
      </c>
      <c r="F351" s="173" t="s">
        <v>2</v>
      </c>
      <c r="G351" s="173">
        <v>37</v>
      </c>
      <c r="H351" s="170" t="s">
        <v>3</v>
      </c>
      <c r="I351" s="372" t="s">
        <v>789</v>
      </c>
      <c r="J351" s="476"/>
      <c r="K351" s="476"/>
      <c r="L351" s="476"/>
      <c r="M351" s="170">
        <v>1</v>
      </c>
      <c r="O351" s="173">
        <v>1</v>
      </c>
      <c r="P351" s="180"/>
      <c r="Q351" s="173">
        <v>1</v>
      </c>
      <c r="R351" s="477">
        <f t="shared" si="8"/>
        <v>1</v>
      </c>
      <c r="S351" s="475"/>
      <c r="T351" s="477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4.4">
      <c r="A352" s="481">
        <v>311</v>
      </c>
      <c r="B352" s="173" t="s">
        <v>163</v>
      </c>
      <c r="C352" s="473" t="str">
        <f t="shared" si="9"/>
        <v>366</v>
      </c>
      <c r="D352" s="474">
        <v>366</v>
      </c>
      <c r="E352" s="173" t="s">
        <v>477</v>
      </c>
      <c r="F352" s="173" t="s">
        <v>2</v>
      </c>
      <c r="G352" s="173">
        <v>22</v>
      </c>
      <c r="H352" s="170" t="s">
        <v>3</v>
      </c>
      <c r="I352" s="372" t="s">
        <v>790</v>
      </c>
      <c r="J352" s="476"/>
      <c r="K352" s="476"/>
      <c r="L352" s="476"/>
      <c r="M352" s="170">
        <v>1</v>
      </c>
      <c r="N352" s="170">
        <v>1</v>
      </c>
      <c r="O352" s="173"/>
      <c r="P352" s="180"/>
      <c r="Q352" s="173">
        <v>1</v>
      </c>
      <c r="R352" s="477">
        <f t="shared" si="8"/>
        <v>1</v>
      </c>
      <c r="S352" s="475"/>
      <c r="T352" s="477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4.4">
      <c r="A353" s="481">
        <v>312</v>
      </c>
      <c r="B353" s="173" t="s">
        <v>163</v>
      </c>
      <c r="C353" s="473" t="str">
        <f t="shared" si="9"/>
        <v>366</v>
      </c>
      <c r="D353" s="474">
        <v>366</v>
      </c>
      <c r="E353" s="173" t="s">
        <v>478</v>
      </c>
      <c r="F353" s="173" t="s">
        <v>2</v>
      </c>
      <c r="G353" s="173">
        <v>19</v>
      </c>
      <c r="H353" s="170" t="s">
        <v>3</v>
      </c>
      <c r="I353" s="372" t="s">
        <v>791</v>
      </c>
      <c r="J353" s="476"/>
      <c r="K353" s="476"/>
      <c r="L353" s="476"/>
      <c r="M353" s="170">
        <v>1</v>
      </c>
      <c r="N353" s="480"/>
      <c r="O353" s="173"/>
      <c r="P353" s="180">
        <v>1</v>
      </c>
      <c r="Q353" s="173">
        <v>1</v>
      </c>
      <c r="R353" s="477">
        <f t="shared" si="8"/>
        <v>1</v>
      </c>
      <c r="S353" s="475"/>
      <c r="T353" s="477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4.4">
      <c r="A354" s="481">
        <v>313</v>
      </c>
      <c r="B354" s="173" t="s">
        <v>163</v>
      </c>
      <c r="C354" s="473" t="str">
        <f t="shared" si="9"/>
        <v>366</v>
      </c>
      <c r="D354" s="474">
        <v>366</v>
      </c>
      <c r="E354" s="173" t="s">
        <v>479</v>
      </c>
      <c r="F354" s="173" t="s">
        <v>2</v>
      </c>
      <c r="G354" s="173">
        <v>20</v>
      </c>
      <c r="H354" s="170" t="s">
        <v>3</v>
      </c>
      <c r="I354" s="372" t="s">
        <v>789</v>
      </c>
      <c r="J354" s="476"/>
      <c r="K354" s="476"/>
      <c r="L354" s="476"/>
      <c r="M354" s="170">
        <v>1</v>
      </c>
      <c r="N354" s="170">
        <v>1</v>
      </c>
      <c r="O354" s="173"/>
      <c r="P354" s="180"/>
      <c r="Q354" s="173"/>
      <c r="R354" s="477">
        <f t="shared" si="8"/>
        <v>1</v>
      </c>
      <c r="S354" s="475"/>
      <c r="T354" s="477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4.4">
      <c r="A355" s="481">
        <v>314</v>
      </c>
      <c r="B355" s="173" t="s">
        <v>163</v>
      </c>
      <c r="C355" s="473" t="str">
        <f t="shared" si="9"/>
        <v>366</v>
      </c>
      <c r="D355" s="474">
        <v>366</v>
      </c>
      <c r="E355" s="173" t="s">
        <v>480</v>
      </c>
      <c r="F355" s="173" t="s">
        <v>2</v>
      </c>
      <c r="G355" s="173">
        <v>26</v>
      </c>
      <c r="H355" s="170" t="s">
        <v>3</v>
      </c>
      <c r="I355" s="372" t="s">
        <v>792</v>
      </c>
      <c r="J355" s="476"/>
      <c r="K355" s="476"/>
      <c r="L355" s="476"/>
      <c r="M355" s="170">
        <v>1</v>
      </c>
      <c r="O355" s="173">
        <v>1</v>
      </c>
      <c r="P355" s="180"/>
      <c r="Q355" s="173">
        <v>1</v>
      </c>
      <c r="R355" s="477">
        <f t="shared" si="8"/>
        <v>1</v>
      </c>
      <c r="S355" s="475"/>
      <c r="T355" s="477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4.4">
      <c r="A356" s="481">
        <v>315</v>
      </c>
      <c r="B356" s="173" t="s">
        <v>163</v>
      </c>
      <c r="C356" s="473" t="str">
        <f t="shared" si="9"/>
        <v>366</v>
      </c>
      <c r="D356" s="474">
        <v>366</v>
      </c>
      <c r="E356" s="173" t="s">
        <v>481</v>
      </c>
      <c r="F356" s="173" t="s">
        <v>2</v>
      </c>
      <c r="G356" s="173">
        <v>23</v>
      </c>
      <c r="H356" s="170" t="s">
        <v>3</v>
      </c>
      <c r="I356" s="372" t="s">
        <v>793</v>
      </c>
      <c r="J356" s="476"/>
      <c r="K356" s="476"/>
      <c r="L356" s="476"/>
      <c r="M356" s="170">
        <v>1</v>
      </c>
      <c r="N356" s="170">
        <v>1</v>
      </c>
      <c r="O356" s="173"/>
      <c r="P356" s="180"/>
      <c r="Q356" s="173"/>
      <c r="R356" s="477">
        <f t="shared" si="8"/>
        <v>1</v>
      </c>
      <c r="S356" s="475"/>
      <c r="T356" s="477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4.4">
      <c r="A357" s="481">
        <v>316</v>
      </c>
      <c r="B357" s="173" t="s">
        <v>163</v>
      </c>
      <c r="C357" s="473" t="str">
        <f t="shared" si="9"/>
        <v>366</v>
      </c>
      <c r="D357" s="474">
        <v>366</v>
      </c>
      <c r="E357" s="173" t="s">
        <v>482</v>
      </c>
      <c r="F357" s="173" t="s">
        <v>2</v>
      </c>
      <c r="G357" s="173">
        <v>27</v>
      </c>
      <c r="H357" s="170" t="s">
        <v>3</v>
      </c>
      <c r="I357" s="372" t="s">
        <v>794</v>
      </c>
      <c r="J357" s="476"/>
      <c r="K357" s="476"/>
      <c r="L357" s="476"/>
      <c r="M357" s="170">
        <v>1</v>
      </c>
      <c r="O357" s="173">
        <v>1</v>
      </c>
      <c r="P357" s="180"/>
      <c r="Q357" s="173">
        <v>1</v>
      </c>
      <c r="R357" s="477">
        <f t="shared" si="8"/>
        <v>1</v>
      </c>
      <c r="S357" s="475"/>
      <c r="T357" s="477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4.4">
      <c r="A358" s="481">
        <v>317</v>
      </c>
      <c r="B358" s="173" t="s">
        <v>163</v>
      </c>
      <c r="C358" s="473" t="str">
        <f t="shared" si="9"/>
        <v>366</v>
      </c>
      <c r="D358" s="474">
        <v>366</v>
      </c>
      <c r="E358" s="173" t="s">
        <v>483</v>
      </c>
      <c r="F358" s="173" t="s">
        <v>4</v>
      </c>
      <c r="G358" s="173">
        <v>30</v>
      </c>
      <c r="H358" s="170" t="s">
        <v>3</v>
      </c>
      <c r="I358" s="372" t="s">
        <v>795</v>
      </c>
      <c r="J358" s="476"/>
      <c r="K358" s="476"/>
      <c r="L358" s="476"/>
      <c r="M358" s="170">
        <v>1</v>
      </c>
      <c r="N358" s="480"/>
      <c r="O358" s="173">
        <v>1</v>
      </c>
      <c r="P358" s="180"/>
      <c r="Q358" s="173">
        <v>0</v>
      </c>
      <c r="R358" s="477">
        <f t="shared" si="8"/>
        <v>1</v>
      </c>
      <c r="S358" s="475"/>
      <c r="T358" s="477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4.4">
      <c r="A359" s="481">
        <v>318</v>
      </c>
      <c r="B359" s="173" t="s">
        <v>163</v>
      </c>
      <c r="C359" s="473" t="str">
        <f t="shared" si="9"/>
        <v>366</v>
      </c>
      <c r="D359" s="474">
        <v>366</v>
      </c>
      <c r="E359" s="173" t="s">
        <v>484</v>
      </c>
      <c r="F359" s="173" t="s">
        <v>2</v>
      </c>
      <c r="G359" s="173">
        <v>22</v>
      </c>
      <c r="H359" s="170" t="s">
        <v>3</v>
      </c>
      <c r="I359" s="372" t="s">
        <v>796</v>
      </c>
      <c r="J359" s="476"/>
      <c r="K359" s="476"/>
      <c r="L359" s="476"/>
      <c r="M359" s="170">
        <v>1</v>
      </c>
      <c r="N359" s="170">
        <v>1</v>
      </c>
      <c r="O359" s="173"/>
      <c r="P359" s="180"/>
      <c r="Q359" s="173"/>
      <c r="R359" s="477">
        <f t="shared" si="8"/>
        <v>1</v>
      </c>
      <c r="S359" s="475"/>
      <c r="T359" s="477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27.6">
      <c r="A360" s="481">
        <v>319</v>
      </c>
      <c r="B360" s="173" t="s">
        <v>163</v>
      </c>
      <c r="C360" s="473" t="str">
        <f t="shared" si="9"/>
        <v>366</v>
      </c>
      <c r="D360" s="474">
        <v>366</v>
      </c>
      <c r="E360" s="372" t="s">
        <v>485</v>
      </c>
      <c r="F360" s="173" t="s">
        <v>2</v>
      </c>
      <c r="G360" s="173">
        <v>23</v>
      </c>
      <c r="H360" s="170" t="s">
        <v>3</v>
      </c>
      <c r="I360" s="372" t="s">
        <v>797</v>
      </c>
      <c r="J360" s="476"/>
      <c r="K360" s="476"/>
      <c r="L360" s="476"/>
      <c r="M360" s="170">
        <v>1</v>
      </c>
      <c r="N360" s="170">
        <v>1</v>
      </c>
      <c r="O360" s="173"/>
      <c r="P360" s="180"/>
      <c r="Q360" s="173"/>
      <c r="R360" s="477">
        <f t="shared" si="8"/>
        <v>1</v>
      </c>
      <c r="S360" s="475"/>
      <c r="T360" s="477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10.4">
      <c r="A361" s="481">
        <v>320</v>
      </c>
      <c r="B361" s="173" t="s">
        <v>156</v>
      </c>
      <c r="C361" s="473" t="str">
        <f t="shared" si="9"/>
        <v>366</v>
      </c>
      <c r="D361" s="474">
        <v>366</v>
      </c>
      <c r="E361" s="173" t="s">
        <v>486</v>
      </c>
      <c r="F361" s="173" t="s">
        <v>2</v>
      </c>
      <c r="G361" s="173">
        <v>24</v>
      </c>
      <c r="H361" s="170" t="s">
        <v>3</v>
      </c>
      <c r="I361" s="372" t="s">
        <v>798</v>
      </c>
      <c r="J361" s="476"/>
      <c r="K361" s="476"/>
      <c r="L361" s="476"/>
      <c r="M361" s="170">
        <v>1</v>
      </c>
      <c r="N361" s="170">
        <v>1</v>
      </c>
      <c r="O361" s="173"/>
      <c r="P361" s="180"/>
      <c r="Q361" s="173">
        <v>1</v>
      </c>
      <c r="R361" s="477">
        <f t="shared" si="8"/>
        <v>1</v>
      </c>
      <c r="S361" s="475"/>
      <c r="T361" s="477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41.4">
      <c r="A362" s="481">
        <v>321</v>
      </c>
      <c r="B362" s="173" t="s">
        <v>156</v>
      </c>
      <c r="C362" s="473" t="str">
        <f t="shared" si="9"/>
        <v>366</v>
      </c>
      <c r="D362" s="474">
        <v>366</v>
      </c>
      <c r="E362" s="173" t="s">
        <v>487</v>
      </c>
      <c r="F362" s="173" t="s">
        <v>2</v>
      </c>
      <c r="G362" s="173">
        <v>19</v>
      </c>
      <c r="H362" s="170" t="s">
        <v>3</v>
      </c>
      <c r="I362" s="372" t="s">
        <v>799</v>
      </c>
      <c r="J362" s="476"/>
      <c r="K362" s="476"/>
      <c r="L362" s="476"/>
      <c r="M362" s="170">
        <v>1</v>
      </c>
      <c r="N362" s="170">
        <v>1</v>
      </c>
      <c r="O362" s="173"/>
      <c r="P362" s="180"/>
      <c r="Q362" s="173">
        <v>1</v>
      </c>
      <c r="R362" s="477">
        <f t="shared" ref="R362:R407" si="10">IF(OR(M362=1,N362=1,O362=1,P362=1,Q362=1),1,0)</f>
        <v>1</v>
      </c>
      <c r="S362" s="475"/>
      <c r="T362" s="477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4.4">
      <c r="A363" s="481">
        <v>322</v>
      </c>
      <c r="B363" s="173" t="s">
        <v>156</v>
      </c>
      <c r="C363" s="473" t="str">
        <f t="shared" ref="C363:C407" si="11">LEFT(D363,3)</f>
        <v>366</v>
      </c>
      <c r="D363" s="474">
        <v>366</v>
      </c>
      <c r="E363" s="173" t="s">
        <v>488</v>
      </c>
      <c r="F363" s="173" t="s">
        <v>2</v>
      </c>
      <c r="G363" s="173">
        <v>30</v>
      </c>
      <c r="H363" s="170" t="s">
        <v>3</v>
      </c>
      <c r="I363" s="372" t="s">
        <v>800</v>
      </c>
      <c r="J363" s="476"/>
      <c r="K363" s="476"/>
      <c r="L363" s="476"/>
      <c r="M363" s="170">
        <v>1</v>
      </c>
      <c r="N363" s="170">
        <v>1</v>
      </c>
      <c r="O363" s="173"/>
      <c r="P363" s="180"/>
      <c r="Q363" s="173"/>
      <c r="R363" s="477">
        <f t="shared" si="10"/>
        <v>1</v>
      </c>
      <c r="S363" s="475"/>
      <c r="T363" s="477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41.4">
      <c r="A364" s="481">
        <v>323</v>
      </c>
      <c r="B364" s="173" t="s">
        <v>156</v>
      </c>
      <c r="C364" s="473" t="str">
        <f t="shared" si="11"/>
        <v>366</v>
      </c>
      <c r="D364" s="474">
        <v>366</v>
      </c>
      <c r="E364" s="173" t="s">
        <v>489</v>
      </c>
      <c r="F364" s="173" t="s">
        <v>2</v>
      </c>
      <c r="G364" s="173">
        <v>28</v>
      </c>
      <c r="H364" s="170" t="s">
        <v>3</v>
      </c>
      <c r="I364" s="372" t="s">
        <v>801</v>
      </c>
      <c r="J364" s="476"/>
      <c r="K364" s="476"/>
      <c r="L364" s="476"/>
      <c r="M364" s="170">
        <v>1</v>
      </c>
      <c r="O364" s="173"/>
      <c r="P364" s="180"/>
      <c r="Q364" s="173"/>
      <c r="R364" s="477">
        <f t="shared" si="10"/>
        <v>1</v>
      </c>
      <c r="S364" s="475"/>
      <c r="T364" s="477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4.4">
      <c r="A365" s="481">
        <v>324</v>
      </c>
      <c r="B365" s="173" t="s">
        <v>156</v>
      </c>
      <c r="C365" s="473" t="str">
        <f t="shared" si="11"/>
        <v>366</v>
      </c>
      <c r="D365" s="474">
        <v>366</v>
      </c>
      <c r="E365" s="173" t="s">
        <v>490</v>
      </c>
      <c r="F365" s="173" t="s">
        <v>2</v>
      </c>
      <c r="G365" s="173">
        <v>33</v>
      </c>
      <c r="H365" s="170" t="s">
        <v>3</v>
      </c>
      <c r="I365" s="372" t="s">
        <v>802</v>
      </c>
      <c r="J365" s="476"/>
      <c r="K365" s="476"/>
      <c r="L365" s="476"/>
      <c r="M365" s="170">
        <v>1</v>
      </c>
      <c r="N365" s="170">
        <v>1</v>
      </c>
      <c r="O365" s="173"/>
      <c r="P365" s="180"/>
      <c r="Q365" s="173"/>
      <c r="R365" s="477">
        <f t="shared" si="10"/>
        <v>1</v>
      </c>
      <c r="S365" s="475"/>
      <c r="T365" s="477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4.4">
      <c r="A366" s="481">
        <v>325</v>
      </c>
      <c r="B366" s="173" t="s">
        <v>156</v>
      </c>
      <c r="C366" s="473" t="str">
        <f t="shared" si="11"/>
        <v>366</v>
      </c>
      <c r="D366" s="474">
        <v>366</v>
      </c>
      <c r="E366" s="173" t="s">
        <v>491</v>
      </c>
      <c r="F366" s="173" t="s">
        <v>2</v>
      </c>
      <c r="G366" s="173">
        <v>27</v>
      </c>
      <c r="H366" s="170" t="s">
        <v>3</v>
      </c>
      <c r="I366" s="372" t="s">
        <v>803</v>
      </c>
      <c r="J366" s="476"/>
      <c r="K366" s="476"/>
      <c r="L366" s="476"/>
      <c r="M366" s="170">
        <v>1</v>
      </c>
      <c r="O366" s="173"/>
      <c r="P366" s="180"/>
      <c r="Q366" s="173"/>
      <c r="R366" s="477">
        <f t="shared" si="10"/>
        <v>1</v>
      </c>
      <c r="S366" s="475"/>
      <c r="T366" s="477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27.6">
      <c r="A367" s="481">
        <v>326</v>
      </c>
      <c r="B367" s="173" t="s">
        <v>156</v>
      </c>
      <c r="C367" s="473" t="str">
        <f t="shared" si="11"/>
        <v>366</v>
      </c>
      <c r="D367" s="474">
        <v>366</v>
      </c>
      <c r="E367" s="173" t="s">
        <v>492</v>
      </c>
      <c r="F367" s="173" t="s">
        <v>2</v>
      </c>
      <c r="G367" s="173">
        <v>23</v>
      </c>
      <c r="H367" s="170" t="s">
        <v>3</v>
      </c>
      <c r="I367" s="372" t="s">
        <v>804</v>
      </c>
      <c r="J367" s="476"/>
      <c r="K367" s="476"/>
      <c r="L367" s="476"/>
      <c r="M367" s="170">
        <v>1</v>
      </c>
      <c r="O367" s="173">
        <v>1</v>
      </c>
      <c r="P367" s="180"/>
      <c r="Q367" s="173"/>
      <c r="R367" s="477">
        <f t="shared" si="10"/>
        <v>1</v>
      </c>
      <c r="S367" s="475"/>
      <c r="T367" s="477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41.4">
      <c r="A368" s="481">
        <v>327</v>
      </c>
      <c r="B368" s="173" t="s">
        <v>156</v>
      </c>
      <c r="C368" s="473" t="str">
        <f t="shared" si="11"/>
        <v>366</v>
      </c>
      <c r="D368" s="474">
        <v>366</v>
      </c>
      <c r="E368" s="173" t="s">
        <v>493</v>
      </c>
      <c r="F368" s="173" t="s">
        <v>2</v>
      </c>
      <c r="G368" s="173">
        <v>24</v>
      </c>
      <c r="H368" s="170" t="s">
        <v>3</v>
      </c>
      <c r="I368" s="372" t="s">
        <v>805</v>
      </c>
      <c r="J368" s="476"/>
      <c r="K368" s="476"/>
      <c r="L368" s="476"/>
      <c r="M368" s="170">
        <v>1</v>
      </c>
      <c r="O368" s="173"/>
      <c r="P368" s="180"/>
      <c r="Q368" s="173"/>
      <c r="R368" s="477">
        <f t="shared" si="10"/>
        <v>1</v>
      </c>
      <c r="S368" s="475"/>
      <c r="T368" s="477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27.6">
      <c r="A369" s="481">
        <v>328</v>
      </c>
      <c r="B369" s="173" t="s">
        <v>156</v>
      </c>
      <c r="C369" s="473" t="str">
        <f t="shared" si="11"/>
        <v>366</v>
      </c>
      <c r="D369" s="474">
        <v>366</v>
      </c>
      <c r="E369" s="173" t="s">
        <v>494</v>
      </c>
      <c r="F369" s="173" t="s">
        <v>2</v>
      </c>
      <c r="G369" s="173">
        <v>20</v>
      </c>
      <c r="H369" s="170" t="s">
        <v>3</v>
      </c>
      <c r="I369" s="372" t="s">
        <v>806</v>
      </c>
      <c r="J369" s="476"/>
      <c r="K369" s="476"/>
      <c r="L369" s="476"/>
      <c r="M369" s="170">
        <v>1</v>
      </c>
      <c r="N369" s="170">
        <v>1</v>
      </c>
      <c r="O369" s="173"/>
      <c r="P369" s="180"/>
      <c r="Q369" s="173">
        <v>0</v>
      </c>
      <c r="R369" s="477">
        <f t="shared" si="10"/>
        <v>1</v>
      </c>
      <c r="S369" s="475"/>
      <c r="T369" s="477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4.4">
      <c r="A370" s="481">
        <v>329</v>
      </c>
      <c r="B370" s="173" t="s">
        <v>156</v>
      </c>
      <c r="C370" s="473" t="str">
        <f t="shared" si="11"/>
        <v>366</v>
      </c>
      <c r="D370" s="474">
        <v>366</v>
      </c>
      <c r="E370" s="173" t="s">
        <v>495</v>
      </c>
      <c r="F370" s="173" t="s">
        <v>2</v>
      </c>
      <c r="G370" s="173">
        <v>25</v>
      </c>
      <c r="H370" s="170" t="s">
        <v>3</v>
      </c>
      <c r="I370" s="372" t="s">
        <v>807</v>
      </c>
      <c r="J370" s="476"/>
      <c r="K370" s="476"/>
      <c r="L370" s="476"/>
      <c r="M370" s="170">
        <v>1</v>
      </c>
      <c r="N370" s="170">
        <v>1</v>
      </c>
      <c r="O370" s="173"/>
      <c r="P370" s="180"/>
      <c r="Q370" s="173"/>
      <c r="R370" s="477">
        <f t="shared" si="10"/>
        <v>1</v>
      </c>
      <c r="S370" s="475"/>
      <c r="T370" s="477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27.6">
      <c r="A371" s="481">
        <v>330</v>
      </c>
      <c r="B371" s="173" t="s">
        <v>156</v>
      </c>
      <c r="C371" s="473" t="str">
        <f t="shared" si="11"/>
        <v>366</v>
      </c>
      <c r="D371" s="474">
        <v>366</v>
      </c>
      <c r="E371" s="173" t="s">
        <v>496</v>
      </c>
      <c r="F371" s="173" t="s">
        <v>2</v>
      </c>
      <c r="G371" s="173">
        <v>29</v>
      </c>
      <c r="H371" s="170" t="s">
        <v>3</v>
      </c>
      <c r="I371" s="372" t="s">
        <v>808</v>
      </c>
      <c r="J371" s="476"/>
      <c r="K371" s="476"/>
      <c r="L371" s="476"/>
      <c r="M371" s="170">
        <v>1</v>
      </c>
      <c r="N371" s="170">
        <v>1</v>
      </c>
      <c r="O371" s="173"/>
      <c r="P371" s="180"/>
      <c r="Q371" s="173"/>
      <c r="R371" s="477">
        <f t="shared" si="10"/>
        <v>1</v>
      </c>
      <c r="S371" s="475"/>
      <c r="T371" s="477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27.6">
      <c r="A372" s="481">
        <v>331</v>
      </c>
      <c r="B372" s="173" t="s">
        <v>156</v>
      </c>
      <c r="C372" s="473" t="str">
        <f t="shared" si="11"/>
        <v>366</v>
      </c>
      <c r="D372" s="474">
        <v>366</v>
      </c>
      <c r="E372" s="173" t="s">
        <v>497</v>
      </c>
      <c r="F372" s="173" t="s">
        <v>2</v>
      </c>
      <c r="G372" s="173">
        <v>23</v>
      </c>
      <c r="H372" s="170" t="s">
        <v>3</v>
      </c>
      <c r="I372" s="372" t="s">
        <v>809</v>
      </c>
      <c r="J372" s="476"/>
      <c r="K372" s="476"/>
      <c r="L372" s="476"/>
      <c r="M372" s="170">
        <v>1</v>
      </c>
      <c r="O372" s="173"/>
      <c r="P372" s="180">
        <v>1</v>
      </c>
      <c r="Q372" s="173">
        <v>0</v>
      </c>
      <c r="R372" s="477">
        <f t="shared" si="10"/>
        <v>1</v>
      </c>
      <c r="S372" s="475"/>
      <c r="T372" s="477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27.6">
      <c r="A373" s="481">
        <v>332</v>
      </c>
      <c r="B373" s="173" t="s">
        <v>156</v>
      </c>
      <c r="C373" s="473" t="str">
        <f t="shared" si="11"/>
        <v>366</v>
      </c>
      <c r="D373" s="474">
        <v>366</v>
      </c>
      <c r="E373" s="173" t="s">
        <v>498</v>
      </c>
      <c r="F373" s="173" t="s">
        <v>2</v>
      </c>
      <c r="G373" s="173">
        <v>22</v>
      </c>
      <c r="H373" s="170" t="s">
        <v>3</v>
      </c>
      <c r="I373" s="372" t="s">
        <v>810</v>
      </c>
      <c r="J373" s="476"/>
      <c r="K373" s="476"/>
      <c r="L373" s="476"/>
      <c r="M373" s="170">
        <v>1</v>
      </c>
      <c r="N373" s="170">
        <v>1</v>
      </c>
      <c r="O373" s="173"/>
      <c r="P373" s="180"/>
      <c r="Q373" s="173"/>
      <c r="R373" s="477">
        <f t="shared" si="10"/>
        <v>1</v>
      </c>
      <c r="S373" s="475"/>
      <c r="T373" s="477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4.4">
      <c r="A374" s="481">
        <v>333</v>
      </c>
      <c r="B374" s="173" t="s">
        <v>156</v>
      </c>
      <c r="C374" s="473" t="str">
        <f t="shared" si="11"/>
        <v>366</v>
      </c>
      <c r="D374" s="474">
        <v>366</v>
      </c>
      <c r="E374" s="173" t="s">
        <v>499</v>
      </c>
      <c r="F374" s="173" t="s">
        <v>2</v>
      </c>
      <c r="G374" s="173">
        <v>19</v>
      </c>
      <c r="H374" s="170" t="s">
        <v>3</v>
      </c>
      <c r="I374" s="372" t="s">
        <v>811</v>
      </c>
      <c r="J374" s="476"/>
      <c r="K374" s="476"/>
      <c r="L374" s="476"/>
      <c r="M374" s="170">
        <v>1</v>
      </c>
      <c r="N374" s="170">
        <v>1</v>
      </c>
      <c r="O374" s="173"/>
      <c r="P374" s="180"/>
      <c r="Q374" s="173"/>
      <c r="R374" s="477">
        <f t="shared" si="10"/>
        <v>1</v>
      </c>
      <c r="S374" s="475"/>
      <c r="T374" s="477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41.4">
      <c r="A375" s="481">
        <v>334</v>
      </c>
      <c r="B375" s="173" t="s">
        <v>156</v>
      </c>
      <c r="C375" s="473" t="str">
        <f t="shared" si="11"/>
        <v>366</v>
      </c>
      <c r="D375" s="474">
        <v>366</v>
      </c>
      <c r="E375" s="173" t="s">
        <v>500</v>
      </c>
      <c r="F375" s="173" t="s">
        <v>2</v>
      </c>
      <c r="G375" s="173">
        <v>26</v>
      </c>
      <c r="H375" s="170" t="s">
        <v>3</v>
      </c>
      <c r="I375" s="372" t="s">
        <v>812</v>
      </c>
      <c r="J375" s="476"/>
      <c r="K375" s="476"/>
      <c r="L375" s="476"/>
      <c r="M375" s="170">
        <v>1</v>
      </c>
      <c r="O375" s="459"/>
      <c r="P375" s="180"/>
      <c r="Q375" s="173"/>
      <c r="R375" s="477">
        <f t="shared" si="10"/>
        <v>1</v>
      </c>
      <c r="S375" s="475"/>
      <c r="T375" s="477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27.6">
      <c r="A376" s="481">
        <v>335</v>
      </c>
      <c r="B376" s="173" t="s">
        <v>156</v>
      </c>
      <c r="C376" s="473" t="str">
        <f t="shared" si="11"/>
        <v>366</v>
      </c>
      <c r="D376" s="474">
        <v>366</v>
      </c>
      <c r="E376" s="173" t="s">
        <v>501</v>
      </c>
      <c r="F376" s="173" t="s">
        <v>2</v>
      </c>
      <c r="G376" s="173">
        <v>26</v>
      </c>
      <c r="H376" s="170" t="s">
        <v>3</v>
      </c>
      <c r="I376" s="372" t="s">
        <v>813</v>
      </c>
      <c r="J376" s="476"/>
      <c r="K376" s="476"/>
      <c r="L376" s="476"/>
      <c r="M376" s="170">
        <v>1</v>
      </c>
      <c r="N376" s="173"/>
      <c r="O376" s="173">
        <v>1</v>
      </c>
      <c r="P376" s="454"/>
      <c r="Q376" s="173"/>
      <c r="R376" s="477">
        <f t="shared" si="10"/>
        <v>1</v>
      </c>
      <c r="S376" s="475"/>
      <c r="T376" s="477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27.6">
      <c r="A377" s="481">
        <v>336</v>
      </c>
      <c r="B377" s="173" t="s">
        <v>156</v>
      </c>
      <c r="C377" s="473" t="str">
        <f t="shared" si="11"/>
        <v>366</v>
      </c>
      <c r="D377" s="474">
        <v>366</v>
      </c>
      <c r="E377" s="173" t="s">
        <v>502</v>
      </c>
      <c r="F377" s="173" t="s">
        <v>2</v>
      </c>
      <c r="G377" s="173">
        <v>20</v>
      </c>
      <c r="H377" s="170" t="s">
        <v>3</v>
      </c>
      <c r="I377" s="372" t="s">
        <v>814</v>
      </c>
      <c r="J377" s="476"/>
      <c r="K377" s="476"/>
      <c r="L377" s="476"/>
      <c r="M377" s="170">
        <v>1</v>
      </c>
      <c r="N377" s="173"/>
      <c r="O377" s="173"/>
      <c r="P377" s="454"/>
      <c r="Q377" s="173"/>
      <c r="R377" s="477">
        <f t="shared" si="10"/>
        <v>1</v>
      </c>
      <c r="S377" s="475"/>
      <c r="T377" s="477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4.4">
      <c r="A378" s="481">
        <v>337</v>
      </c>
      <c r="B378" s="173" t="s">
        <v>164</v>
      </c>
      <c r="C378" s="473" t="str">
        <f t="shared" si="11"/>
        <v>366</v>
      </c>
      <c r="D378" s="474">
        <v>366</v>
      </c>
      <c r="E378" s="173" t="s">
        <v>503</v>
      </c>
      <c r="F378" s="173" t="s">
        <v>2</v>
      </c>
      <c r="G378" s="173">
        <v>23</v>
      </c>
      <c r="H378" s="170" t="s">
        <v>3</v>
      </c>
      <c r="I378" s="372" t="s">
        <v>815</v>
      </c>
      <c r="J378" s="476"/>
      <c r="K378" s="476"/>
      <c r="L378" s="476"/>
      <c r="M378" s="170">
        <v>1</v>
      </c>
      <c r="N378" s="173"/>
      <c r="O378" s="173">
        <v>1</v>
      </c>
      <c r="P378" s="454"/>
      <c r="Q378" s="173">
        <v>1</v>
      </c>
      <c r="R378" s="477">
        <f t="shared" si="10"/>
        <v>1</v>
      </c>
      <c r="S378" s="475"/>
      <c r="T378" s="477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4.4">
      <c r="A379" s="481">
        <v>338</v>
      </c>
      <c r="B379" s="173" t="s">
        <v>164</v>
      </c>
      <c r="C379" s="473" t="str">
        <f t="shared" si="11"/>
        <v>366</v>
      </c>
      <c r="D379" s="474">
        <v>366</v>
      </c>
      <c r="E379" s="173" t="s">
        <v>504</v>
      </c>
      <c r="F379" s="173" t="s">
        <v>2</v>
      </c>
      <c r="G379" s="173">
        <v>34</v>
      </c>
      <c r="H379" s="170" t="s">
        <v>3</v>
      </c>
      <c r="I379" s="372" t="s">
        <v>816</v>
      </c>
      <c r="J379" s="476"/>
      <c r="K379" s="476"/>
      <c r="L379" s="476"/>
      <c r="M379" s="170">
        <v>1</v>
      </c>
      <c r="N379" s="173">
        <v>1</v>
      </c>
      <c r="O379" s="173"/>
      <c r="P379" s="454"/>
      <c r="Q379" s="173">
        <v>0</v>
      </c>
      <c r="R379" s="477">
        <f t="shared" si="10"/>
        <v>1</v>
      </c>
      <c r="S379" s="475"/>
      <c r="T379" s="477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4.4">
      <c r="A380" s="481">
        <v>339</v>
      </c>
      <c r="B380" s="173" t="s">
        <v>164</v>
      </c>
      <c r="C380" s="473" t="str">
        <f t="shared" si="11"/>
        <v>366</v>
      </c>
      <c r="D380" s="474">
        <v>366</v>
      </c>
      <c r="E380" s="173" t="s">
        <v>505</v>
      </c>
      <c r="F380" s="173" t="s">
        <v>2</v>
      </c>
      <c r="G380" s="173">
        <v>19</v>
      </c>
      <c r="H380" s="170" t="s">
        <v>3</v>
      </c>
      <c r="I380" s="372" t="s">
        <v>817</v>
      </c>
      <c r="J380" s="476"/>
      <c r="K380" s="476"/>
      <c r="L380" s="476"/>
      <c r="M380" s="170">
        <v>1</v>
      </c>
      <c r="N380" s="173">
        <v>1</v>
      </c>
      <c r="O380" s="173"/>
      <c r="P380" s="454"/>
      <c r="Q380" s="173"/>
      <c r="R380" s="477">
        <f t="shared" si="10"/>
        <v>1</v>
      </c>
      <c r="S380" s="475"/>
      <c r="T380" s="477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4.4">
      <c r="A381" s="481">
        <v>340</v>
      </c>
      <c r="B381" s="173" t="s">
        <v>164</v>
      </c>
      <c r="C381" s="473" t="str">
        <f t="shared" si="11"/>
        <v>366</v>
      </c>
      <c r="D381" s="474">
        <v>366</v>
      </c>
      <c r="E381" s="173" t="s">
        <v>506</v>
      </c>
      <c r="F381" s="173" t="s">
        <v>2</v>
      </c>
      <c r="G381" s="173">
        <v>29</v>
      </c>
      <c r="H381" s="170" t="s">
        <v>3</v>
      </c>
      <c r="I381" s="372" t="s">
        <v>818</v>
      </c>
      <c r="J381" s="476"/>
      <c r="K381" s="476"/>
      <c r="L381" s="476"/>
      <c r="M381" s="170">
        <v>1</v>
      </c>
      <c r="N381" s="173">
        <v>1</v>
      </c>
      <c r="O381" s="173"/>
      <c r="P381" s="454"/>
      <c r="Q381" s="173">
        <v>0</v>
      </c>
      <c r="R381" s="477">
        <f t="shared" si="10"/>
        <v>1</v>
      </c>
      <c r="S381" s="475"/>
      <c r="T381" s="477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4.4">
      <c r="A382" s="481">
        <v>341</v>
      </c>
      <c r="B382" s="173" t="s">
        <v>164</v>
      </c>
      <c r="C382" s="473" t="str">
        <f t="shared" si="11"/>
        <v>366</v>
      </c>
      <c r="D382" s="474">
        <v>366</v>
      </c>
      <c r="E382" s="173" t="s">
        <v>507</v>
      </c>
      <c r="F382" s="173" t="s">
        <v>2</v>
      </c>
      <c r="G382" s="173">
        <v>24</v>
      </c>
      <c r="H382" s="170" t="s">
        <v>3</v>
      </c>
      <c r="I382" s="372" t="s">
        <v>819</v>
      </c>
      <c r="J382" s="476"/>
      <c r="K382" s="476"/>
      <c r="L382" s="476"/>
      <c r="M382" s="170">
        <v>1</v>
      </c>
      <c r="N382" s="173">
        <v>1</v>
      </c>
      <c r="O382" s="173"/>
      <c r="P382" s="454"/>
      <c r="Q382" s="173"/>
      <c r="R382" s="477">
        <f t="shared" si="10"/>
        <v>1</v>
      </c>
      <c r="S382" s="475"/>
      <c r="T382" s="477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4.4">
      <c r="A383" s="481">
        <v>342</v>
      </c>
      <c r="B383" s="173" t="s">
        <v>164</v>
      </c>
      <c r="C383" s="473" t="str">
        <f t="shared" si="11"/>
        <v>366</v>
      </c>
      <c r="D383" s="474">
        <v>366</v>
      </c>
      <c r="E383" s="173" t="s">
        <v>508</v>
      </c>
      <c r="F383" s="173" t="s">
        <v>2</v>
      </c>
      <c r="G383" s="173">
        <v>24</v>
      </c>
      <c r="H383" s="170" t="s">
        <v>3</v>
      </c>
      <c r="I383" s="372" t="s">
        <v>820</v>
      </c>
      <c r="J383" s="476"/>
      <c r="K383" s="476"/>
      <c r="L383" s="476"/>
      <c r="M383" s="170">
        <v>1</v>
      </c>
      <c r="N383" s="173"/>
      <c r="O383" s="173">
        <v>1</v>
      </c>
      <c r="P383" s="454"/>
      <c r="Q383" s="173">
        <v>0</v>
      </c>
      <c r="R383" s="477">
        <f t="shared" si="10"/>
        <v>1</v>
      </c>
      <c r="S383" s="475"/>
      <c r="T383" s="477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4.4">
      <c r="A384" s="481">
        <v>343</v>
      </c>
      <c r="B384" s="173" t="s">
        <v>164</v>
      </c>
      <c r="C384" s="473" t="str">
        <f t="shared" si="11"/>
        <v>366</v>
      </c>
      <c r="D384" s="474">
        <v>366</v>
      </c>
      <c r="E384" s="173" t="s">
        <v>509</v>
      </c>
      <c r="F384" s="173" t="s">
        <v>2</v>
      </c>
      <c r="G384" s="173">
        <v>28</v>
      </c>
      <c r="H384" s="170" t="s">
        <v>3</v>
      </c>
      <c r="I384" s="372" t="s">
        <v>821</v>
      </c>
      <c r="J384" s="476"/>
      <c r="K384" s="476"/>
      <c r="L384" s="476"/>
      <c r="M384" s="170">
        <v>1</v>
      </c>
      <c r="N384" s="173">
        <v>1</v>
      </c>
      <c r="O384" s="173"/>
      <c r="P384" s="454"/>
      <c r="Q384" s="173"/>
      <c r="R384" s="477">
        <f t="shared" si="10"/>
        <v>1</v>
      </c>
      <c r="S384" s="475"/>
      <c r="T384" s="477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4.4">
      <c r="A385" s="481">
        <v>344</v>
      </c>
      <c r="B385" s="173" t="s">
        <v>164</v>
      </c>
      <c r="C385" s="473" t="str">
        <f t="shared" si="11"/>
        <v>366</v>
      </c>
      <c r="D385" s="474">
        <v>366</v>
      </c>
      <c r="E385" s="173" t="s">
        <v>510</v>
      </c>
      <c r="F385" s="173" t="s">
        <v>2</v>
      </c>
      <c r="G385" s="173">
        <v>29</v>
      </c>
      <c r="H385" s="170" t="s">
        <v>3</v>
      </c>
      <c r="I385" s="372" t="s">
        <v>822</v>
      </c>
      <c r="J385" s="476"/>
      <c r="K385" s="476"/>
      <c r="L385" s="476"/>
      <c r="M385" s="170">
        <v>1</v>
      </c>
      <c r="N385" s="173"/>
      <c r="O385" s="173">
        <v>1</v>
      </c>
      <c r="P385" s="454"/>
      <c r="Q385" s="173">
        <v>0</v>
      </c>
      <c r="R385" s="477">
        <f t="shared" si="10"/>
        <v>1</v>
      </c>
      <c r="S385" s="475"/>
      <c r="T385" s="477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4.4">
      <c r="A386" s="481">
        <v>345</v>
      </c>
      <c r="B386" s="173" t="s">
        <v>164</v>
      </c>
      <c r="C386" s="473" t="str">
        <f t="shared" si="11"/>
        <v>366</v>
      </c>
      <c r="D386" s="474">
        <v>366</v>
      </c>
      <c r="E386" s="173" t="s">
        <v>511</v>
      </c>
      <c r="F386" s="173" t="s">
        <v>2</v>
      </c>
      <c r="G386" s="173">
        <v>30</v>
      </c>
      <c r="H386" s="170" t="s">
        <v>3</v>
      </c>
      <c r="I386" s="372" t="s">
        <v>823</v>
      </c>
      <c r="J386" s="476"/>
      <c r="K386" s="476"/>
      <c r="L386" s="476"/>
      <c r="M386" s="170">
        <v>1</v>
      </c>
      <c r="N386" s="173">
        <v>1</v>
      </c>
      <c r="O386" s="173"/>
      <c r="P386" s="454"/>
      <c r="Q386" s="173">
        <v>1</v>
      </c>
      <c r="R386" s="477">
        <f t="shared" si="10"/>
        <v>1</v>
      </c>
      <c r="S386" s="475"/>
      <c r="T386" s="477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4.4">
      <c r="A387" s="481">
        <v>346</v>
      </c>
      <c r="B387" s="173" t="s">
        <v>164</v>
      </c>
      <c r="C387" s="473" t="str">
        <f t="shared" si="11"/>
        <v>366</v>
      </c>
      <c r="D387" s="474">
        <v>366</v>
      </c>
      <c r="E387" s="173" t="s">
        <v>512</v>
      </c>
      <c r="F387" s="173" t="s">
        <v>2</v>
      </c>
      <c r="G387" s="173">
        <v>29</v>
      </c>
      <c r="H387" s="170" t="s">
        <v>3</v>
      </c>
      <c r="I387" s="372" t="s">
        <v>824</v>
      </c>
      <c r="J387" s="476"/>
      <c r="K387" s="476"/>
      <c r="L387" s="476"/>
      <c r="M387" s="170">
        <v>1</v>
      </c>
      <c r="N387" s="173"/>
      <c r="O387" s="173">
        <v>1</v>
      </c>
      <c r="P387" s="454"/>
      <c r="Q387" s="173">
        <v>1</v>
      </c>
      <c r="R387" s="477">
        <f t="shared" si="10"/>
        <v>1</v>
      </c>
      <c r="S387" s="475"/>
      <c r="T387" s="477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4.4">
      <c r="A388" s="481">
        <v>347</v>
      </c>
      <c r="B388" s="173" t="s">
        <v>164</v>
      </c>
      <c r="C388" s="473" t="str">
        <f t="shared" si="11"/>
        <v>366</v>
      </c>
      <c r="D388" s="474">
        <v>366</v>
      </c>
      <c r="E388" s="173" t="s">
        <v>513</v>
      </c>
      <c r="F388" s="173" t="s">
        <v>2</v>
      </c>
      <c r="G388" s="173">
        <v>24</v>
      </c>
      <c r="H388" s="170" t="s">
        <v>3</v>
      </c>
      <c r="I388" s="372" t="s">
        <v>825</v>
      </c>
      <c r="J388" s="476"/>
      <c r="K388" s="476"/>
      <c r="L388" s="476"/>
      <c r="M388" s="170">
        <v>1</v>
      </c>
      <c r="N388" s="173">
        <v>1</v>
      </c>
      <c r="O388" s="173"/>
      <c r="P388" s="454"/>
      <c r="Q388" s="173">
        <v>1</v>
      </c>
      <c r="R388" s="477">
        <f t="shared" si="10"/>
        <v>1</v>
      </c>
      <c r="S388" s="475"/>
      <c r="T388" s="477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4.4">
      <c r="A389" s="481">
        <v>348</v>
      </c>
      <c r="B389" s="173" t="s">
        <v>164</v>
      </c>
      <c r="C389" s="473" t="str">
        <f t="shared" si="11"/>
        <v>366</v>
      </c>
      <c r="D389" s="474">
        <v>366</v>
      </c>
      <c r="E389" s="173" t="s">
        <v>514</v>
      </c>
      <c r="F389" s="173" t="s">
        <v>2</v>
      </c>
      <c r="G389" s="173">
        <v>20</v>
      </c>
      <c r="H389" s="170" t="s">
        <v>3</v>
      </c>
      <c r="I389" s="372" t="s">
        <v>822</v>
      </c>
      <c r="J389" s="476"/>
      <c r="K389" s="476"/>
      <c r="L389" s="476"/>
      <c r="M389" s="170">
        <v>1</v>
      </c>
      <c r="N389" s="173"/>
      <c r="O389" s="173">
        <v>1</v>
      </c>
      <c r="P389" s="454"/>
      <c r="Q389" s="173">
        <v>1</v>
      </c>
      <c r="R389" s="477">
        <f t="shared" si="10"/>
        <v>1</v>
      </c>
      <c r="S389" s="475"/>
      <c r="T389" s="477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4.4">
      <c r="A390" s="481">
        <v>349</v>
      </c>
      <c r="B390" s="173" t="s">
        <v>164</v>
      </c>
      <c r="C390" s="473" t="str">
        <f t="shared" si="11"/>
        <v>366</v>
      </c>
      <c r="D390" s="474">
        <v>366</v>
      </c>
      <c r="E390" s="173" t="s">
        <v>515</v>
      </c>
      <c r="F390" s="173" t="s">
        <v>2</v>
      </c>
      <c r="G390" s="173">
        <v>19</v>
      </c>
      <c r="H390" s="170" t="s">
        <v>3</v>
      </c>
      <c r="I390" s="372" t="s">
        <v>826</v>
      </c>
      <c r="J390" s="476"/>
      <c r="K390" s="476"/>
      <c r="L390" s="476"/>
      <c r="M390" s="170">
        <v>1</v>
      </c>
      <c r="N390" s="173"/>
      <c r="O390" s="173"/>
      <c r="P390" s="454">
        <v>1</v>
      </c>
      <c r="Q390" s="173">
        <v>1</v>
      </c>
      <c r="R390" s="477">
        <f t="shared" si="10"/>
        <v>1</v>
      </c>
      <c r="S390" s="475"/>
      <c r="T390" s="477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4.4">
      <c r="A391" s="481">
        <v>350</v>
      </c>
      <c r="B391" s="173" t="s">
        <v>162</v>
      </c>
      <c r="C391" s="473" t="str">
        <f t="shared" si="11"/>
        <v>366</v>
      </c>
      <c r="D391" s="474">
        <v>366</v>
      </c>
      <c r="E391" s="173" t="s">
        <v>516</v>
      </c>
      <c r="F391" s="173" t="s">
        <v>2</v>
      </c>
      <c r="G391" s="173">
        <v>30</v>
      </c>
      <c r="H391" s="170" t="s">
        <v>3</v>
      </c>
      <c r="I391" s="372" t="s">
        <v>827</v>
      </c>
      <c r="J391" s="476"/>
      <c r="K391" s="476"/>
      <c r="L391" s="476"/>
      <c r="M391" s="170">
        <v>1</v>
      </c>
      <c r="N391" s="173"/>
      <c r="O391" s="173">
        <v>1</v>
      </c>
      <c r="P391" s="454"/>
      <c r="Q391" s="173">
        <v>0</v>
      </c>
      <c r="R391" s="477">
        <f t="shared" si="10"/>
        <v>1</v>
      </c>
      <c r="S391" s="475"/>
      <c r="T391" s="477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4.4">
      <c r="A392" s="481">
        <v>351</v>
      </c>
      <c r="B392" s="173" t="s">
        <v>162</v>
      </c>
      <c r="C392" s="473" t="str">
        <f t="shared" si="11"/>
        <v>366</v>
      </c>
      <c r="D392" s="474">
        <v>366</v>
      </c>
      <c r="E392" s="173" t="s">
        <v>517</v>
      </c>
      <c r="F392" s="173" t="s">
        <v>2</v>
      </c>
      <c r="G392" s="173">
        <v>24</v>
      </c>
      <c r="H392" s="170" t="s">
        <v>3</v>
      </c>
      <c r="I392" s="372" t="s">
        <v>828</v>
      </c>
      <c r="J392" s="476"/>
      <c r="K392" s="476"/>
      <c r="L392" s="476"/>
      <c r="M392" s="170">
        <v>1</v>
      </c>
      <c r="N392" s="173"/>
      <c r="O392" s="173"/>
      <c r="P392" s="454">
        <v>1</v>
      </c>
      <c r="Q392" s="173">
        <v>0</v>
      </c>
      <c r="R392" s="477">
        <f t="shared" si="10"/>
        <v>1</v>
      </c>
      <c r="S392" s="475"/>
      <c r="T392" s="477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4.4">
      <c r="A393" s="481">
        <v>352</v>
      </c>
      <c r="B393" s="173" t="s">
        <v>162</v>
      </c>
      <c r="C393" s="473" t="str">
        <f t="shared" si="11"/>
        <v>366</v>
      </c>
      <c r="D393" s="474">
        <v>366</v>
      </c>
      <c r="E393" s="173" t="s">
        <v>518</v>
      </c>
      <c r="F393" s="173" t="s">
        <v>2</v>
      </c>
      <c r="G393" s="173">
        <v>27</v>
      </c>
      <c r="H393" s="170" t="s">
        <v>3</v>
      </c>
      <c r="I393" s="372" t="s">
        <v>625</v>
      </c>
      <c r="J393" s="476"/>
      <c r="K393" s="476"/>
      <c r="L393" s="476"/>
      <c r="M393" s="170">
        <v>1</v>
      </c>
      <c r="N393" s="173">
        <v>1</v>
      </c>
      <c r="O393" s="173"/>
      <c r="P393" s="454"/>
      <c r="Q393" s="173">
        <v>0</v>
      </c>
      <c r="R393" s="477">
        <f t="shared" si="10"/>
        <v>1</v>
      </c>
      <c r="S393" s="475"/>
      <c r="T393" s="477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4.4">
      <c r="A394" s="481">
        <v>353</v>
      </c>
      <c r="B394" s="173" t="s">
        <v>162</v>
      </c>
      <c r="C394" s="473" t="str">
        <f t="shared" si="11"/>
        <v>366</v>
      </c>
      <c r="D394" s="474">
        <v>366</v>
      </c>
      <c r="E394" s="173" t="s">
        <v>519</v>
      </c>
      <c r="F394" s="173" t="s">
        <v>2</v>
      </c>
      <c r="G394" s="173">
        <v>19</v>
      </c>
      <c r="H394" s="170" t="s">
        <v>3</v>
      </c>
      <c r="I394" s="372" t="s">
        <v>829</v>
      </c>
      <c r="J394" s="476"/>
      <c r="K394" s="476"/>
      <c r="L394" s="476"/>
      <c r="M394" s="170">
        <v>1</v>
      </c>
      <c r="N394" s="173"/>
      <c r="O394" s="173"/>
      <c r="P394" s="454"/>
      <c r="Q394" s="173"/>
      <c r="R394" s="477">
        <f t="shared" si="10"/>
        <v>1</v>
      </c>
      <c r="S394" s="475"/>
      <c r="T394" s="477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4.4">
      <c r="A395" s="481">
        <v>354</v>
      </c>
      <c r="B395" s="173" t="s">
        <v>162</v>
      </c>
      <c r="C395" s="473" t="str">
        <f t="shared" si="11"/>
        <v>366</v>
      </c>
      <c r="D395" s="474">
        <v>366</v>
      </c>
      <c r="E395" s="173" t="s">
        <v>520</v>
      </c>
      <c r="F395" s="173" t="s">
        <v>2</v>
      </c>
      <c r="G395" s="173">
        <v>25</v>
      </c>
      <c r="H395" s="170" t="s">
        <v>3</v>
      </c>
      <c r="I395" s="372" t="s">
        <v>560</v>
      </c>
      <c r="J395" s="476"/>
      <c r="K395" s="476"/>
      <c r="L395" s="476"/>
      <c r="M395" s="170">
        <v>1</v>
      </c>
      <c r="N395" s="173"/>
      <c r="O395" s="173"/>
      <c r="P395" s="454"/>
      <c r="Q395" s="173"/>
      <c r="R395" s="477">
        <f t="shared" si="10"/>
        <v>1</v>
      </c>
      <c r="S395" s="475"/>
      <c r="T395" s="477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4.4">
      <c r="A396" s="481">
        <v>355</v>
      </c>
      <c r="B396" s="173" t="s">
        <v>162</v>
      </c>
      <c r="C396" s="473" t="str">
        <f t="shared" si="11"/>
        <v>366</v>
      </c>
      <c r="D396" s="474">
        <v>366</v>
      </c>
      <c r="E396" s="173" t="s">
        <v>521</v>
      </c>
      <c r="F396" s="173" t="s">
        <v>2</v>
      </c>
      <c r="G396" s="173">
        <v>32</v>
      </c>
      <c r="H396" s="170" t="s">
        <v>3</v>
      </c>
      <c r="I396" s="372" t="s">
        <v>694</v>
      </c>
      <c r="J396" s="476"/>
      <c r="K396" s="476"/>
      <c r="L396" s="476"/>
      <c r="M396" s="170">
        <v>1</v>
      </c>
      <c r="N396" s="173"/>
      <c r="O396" s="173"/>
      <c r="P396" s="454"/>
      <c r="Q396" s="173">
        <v>0</v>
      </c>
      <c r="R396" s="477">
        <f t="shared" si="10"/>
        <v>1</v>
      </c>
      <c r="S396" s="475"/>
      <c r="T396" s="477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4.4">
      <c r="A397" s="481">
        <v>356</v>
      </c>
      <c r="B397" s="173" t="s">
        <v>162</v>
      </c>
      <c r="C397" s="473" t="str">
        <f t="shared" si="11"/>
        <v>366</v>
      </c>
      <c r="D397" s="474">
        <v>366</v>
      </c>
      <c r="E397" s="173" t="s">
        <v>522</v>
      </c>
      <c r="F397" s="173" t="s">
        <v>2</v>
      </c>
      <c r="G397" s="173">
        <v>21</v>
      </c>
      <c r="H397" s="170" t="s">
        <v>3</v>
      </c>
      <c r="I397" s="372" t="s">
        <v>830</v>
      </c>
      <c r="J397" s="476"/>
      <c r="K397" s="476"/>
      <c r="L397" s="476"/>
      <c r="M397" s="170">
        <v>1</v>
      </c>
      <c r="N397" s="173">
        <v>1</v>
      </c>
      <c r="O397" s="173"/>
      <c r="P397" s="454"/>
      <c r="Q397" s="173"/>
      <c r="R397" s="477">
        <f t="shared" si="10"/>
        <v>1</v>
      </c>
      <c r="S397" s="475"/>
      <c r="T397" s="477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4.4">
      <c r="A398" s="481">
        <v>357</v>
      </c>
      <c r="B398" s="173" t="s">
        <v>162</v>
      </c>
      <c r="C398" s="473" t="str">
        <f t="shared" si="11"/>
        <v>366</v>
      </c>
      <c r="D398" s="474">
        <v>366</v>
      </c>
      <c r="E398" s="173" t="s">
        <v>523</v>
      </c>
      <c r="F398" s="173" t="s">
        <v>2</v>
      </c>
      <c r="G398" s="173">
        <v>21</v>
      </c>
      <c r="H398" s="170" t="s">
        <v>3</v>
      </c>
      <c r="I398" s="372" t="s">
        <v>831</v>
      </c>
      <c r="J398" s="476"/>
      <c r="K398" s="476"/>
      <c r="L398" s="476"/>
      <c r="M398" s="170">
        <v>1</v>
      </c>
      <c r="N398" s="173"/>
      <c r="O398" s="173"/>
      <c r="P398" s="454">
        <v>1</v>
      </c>
      <c r="Q398" s="173">
        <v>0</v>
      </c>
      <c r="R398" s="477">
        <f t="shared" si="10"/>
        <v>1</v>
      </c>
      <c r="S398" s="475"/>
      <c r="T398" s="477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4.4">
      <c r="A399" s="481">
        <v>358</v>
      </c>
      <c r="B399" s="173" t="s">
        <v>162</v>
      </c>
      <c r="C399" s="473" t="str">
        <f t="shared" si="11"/>
        <v>366</v>
      </c>
      <c r="D399" s="474">
        <v>366</v>
      </c>
      <c r="E399" s="173" t="s">
        <v>524</v>
      </c>
      <c r="F399" s="173" t="s">
        <v>2</v>
      </c>
      <c r="G399" s="173">
        <v>30</v>
      </c>
      <c r="H399" s="170" t="s">
        <v>3</v>
      </c>
      <c r="I399" s="372" t="s">
        <v>832</v>
      </c>
      <c r="J399" s="476"/>
      <c r="K399" s="476"/>
      <c r="L399" s="476"/>
      <c r="M399" s="170">
        <v>1</v>
      </c>
      <c r="N399" s="173"/>
      <c r="O399" s="173"/>
      <c r="P399" s="454">
        <v>1</v>
      </c>
      <c r="Q399" s="173"/>
      <c r="R399" s="477">
        <f t="shared" si="10"/>
        <v>1</v>
      </c>
      <c r="S399" s="475"/>
      <c r="T399" s="477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4.4">
      <c r="A400" s="481">
        <v>359</v>
      </c>
      <c r="B400" s="173" t="s">
        <v>162</v>
      </c>
      <c r="C400" s="473" t="str">
        <f t="shared" si="11"/>
        <v>366</v>
      </c>
      <c r="D400" s="474">
        <v>366</v>
      </c>
      <c r="E400" s="173" t="s">
        <v>525</v>
      </c>
      <c r="F400" s="173" t="s">
        <v>2</v>
      </c>
      <c r="G400" s="173">
        <v>33</v>
      </c>
      <c r="H400" s="170" t="s">
        <v>3</v>
      </c>
      <c r="I400" s="372" t="s">
        <v>833</v>
      </c>
      <c r="J400" s="476"/>
      <c r="K400" s="476"/>
      <c r="L400" s="476"/>
      <c r="M400" s="170">
        <v>1</v>
      </c>
      <c r="N400" s="173"/>
      <c r="O400" s="173">
        <v>0</v>
      </c>
      <c r="P400" s="454"/>
      <c r="Q400" s="173">
        <v>0</v>
      </c>
      <c r="R400" s="477">
        <f t="shared" si="10"/>
        <v>1</v>
      </c>
      <c r="S400" s="475"/>
      <c r="T400" s="477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4.4">
      <c r="A401" s="481">
        <v>360</v>
      </c>
      <c r="B401" s="173" t="s">
        <v>162</v>
      </c>
      <c r="C401" s="473" t="str">
        <f t="shared" si="11"/>
        <v>366</v>
      </c>
      <c r="D401" s="474">
        <v>366</v>
      </c>
      <c r="E401" s="173" t="s">
        <v>526</v>
      </c>
      <c r="F401" s="173" t="s">
        <v>2</v>
      </c>
      <c r="G401" s="173">
        <v>27</v>
      </c>
      <c r="H401" s="170" t="s">
        <v>3</v>
      </c>
      <c r="I401" s="372" t="s">
        <v>834</v>
      </c>
      <c r="J401" s="476"/>
      <c r="K401" s="476"/>
      <c r="L401" s="476"/>
      <c r="M401" s="170">
        <v>1</v>
      </c>
      <c r="N401" s="173"/>
      <c r="O401" s="173"/>
      <c r="P401" s="454"/>
      <c r="Q401" s="173"/>
      <c r="R401" s="477">
        <f t="shared" si="10"/>
        <v>1</v>
      </c>
      <c r="S401" s="475"/>
      <c r="T401" s="477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4.4">
      <c r="A402" s="481">
        <v>361</v>
      </c>
      <c r="B402" s="173" t="s">
        <v>162</v>
      </c>
      <c r="C402" s="473" t="str">
        <f t="shared" si="11"/>
        <v>366</v>
      </c>
      <c r="D402" s="474">
        <v>366</v>
      </c>
      <c r="E402" s="173" t="s">
        <v>527</v>
      </c>
      <c r="F402" s="173" t="s">
        <v>2</v>
      </c>
      <c r="G402" s="173">
        <v>23</v>
      </c>
      <c r="H402" s="170" t="s">
        <v>3</v>
      </c>
      <c r="I402" s="372" t="s">
        <v>835</v>
      </c>
      <c r="J402" s="476"/>
      <c r="K402" s="476"/>
      <c r="L402" s="476"/>
      <c r="M402" s="170">
        <v>1</v>
      </c>
      <c r="N402" s="173"/>
      <c r="O402" s="173">
        <v>1</v>
      </c>
      <c r="P402" s="454"/>
      <c r="Q402" s="173">
        <v>1</v>
      </c>
      <c r="R402" s="477">
        <f t="shared" si="10"/>
        <v>1</v>
      </c>
      <c r="S402" s="475"/>
      <c r="T402" s="477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27.6">
      <c r="A403" s="481">
        <v>362</v>
      </c>
      <c r="B403" s="173" t="s">
        <v>162</v>
      </c>
      <c r="C403" s="473" t="str">
        <f t="shared" si="11"/>
        <v>366</v>
      </c>
      <c r="D403" s="474">
        <v>366</v>
      </c>
      <c r="E403" s="173" t="s">
        <v>528</v>
      </c>
      <c r="F403" s="173" t="s">
        <v>2</v>
      </c>
      <c r="G403" s="173">
        <v>22</v>
      </c>
      <c r="H403" s="170" t="s">
        <v>3</v>
      </c>
      <c r="I403" s="372" t="s">
        <v>836</v>
      </c>
      <c r="J403" s="476"/>
      <c r="K403" s="476"/>
      <c r="L403" s="476"/>
      <c r="M403" s="170">
        <v>1</v>
      </c>
      <c r="N403" s="173"/>
      <c r="O403" s="173"/>
      <c r="P403" s="454">
        <v>0</v>
      </c>
      <c r="Q403" s="173">
        <v>1</v>
      </c>
      <c r="R403" s="477">
        <f t="shared" si="10"/>
        <v>1</v>
      </c>
      <c r="S403" s="475"/>
      <c r="T403" s="477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27.6">
      <c r="A404" s="481">
        <v>363</v>
      </c>
      <c r="B404" s="173" t="s">
        <v>162</v>
      </c>
      <c r="C404" s="473" t="str">
        <f t="shared" si="11"/>
        <v>366</v>
      </c>
      <c r="D404" s="474">
        <v>366</v>
      </c>
      <c r="E404" s="173" t="s">
        <v>529</v>
      </c>
      <c r="F404" s="173" t="s">
        <v>2</v>
      </c>
      <c r="G404" s="173">
        <v>30</v>
      </c>
      <c r="H404" s="170" t="s">
        <v>5</v>
      </c>
      <c r="I404" s="372" t="s">
        <v>837</v>
      </c>
      <c r="J404" s="476"/>
      <c r="K404" s="476"/>
      <c r="L404" s="476"/>
      <c r="M404" s="170">
        <v>0</v>
      </c>
      <c r="N404" s="173"/>
      <c r="O404" s="173">
        <v>0</v>
      </c>
      <c r="P404" s="454"/>
      <c r="Q404" s="173"/>
      <c r="R404" s="477">
        <f t="shared" si="10"/>
        <v>0</v>
      </c>
      <c r="S404" s="475"/>
      <c r="T404" s="477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27.6">
      <c r="A405" s="481">
        <v>364</v>
      </c>
      <c r="B405" s="173" t="s">
        <v>162</v>
      </c>
      <c r="C405" s="473" t="str">
        <f t="shared" si="11"/>
        <v>366</v>
      </c>
      <c r="D405" s="474">
        <v>366</v>
      </c>
      <c r="E405" s="173" t="s">
        <v>530</v>
      </c>
      <c r="F405" s="173" t="s">
        <v>2</v>
      </c>
      <c r="G405" s="173">
        <v>24</v>
      </c>
      <c r="H405" s="170" t="s">
        <v>3</v>
      </c>
      <c r="I405" s="372" t="s">
        <v>838</v>
      </c>
      <c r="J405" s="476"/>
      <c r="K405" s="476"/>
      <c r="L405" s="476"/>
      <c r="M405" s="170">
        <v>1</v>
      </c>
      <c r="N405" s="173"/>
      <c r="O405" s="173">
        <v>1</v>
      </c>
      <c r="P405" s="488"/>
      <c r="Q405" s="173">
        <v>1</v>
      </c>
      <c r="R405" s="477">
        <f t="shared" si="10"/>
        <v>1</v>
      </c>
      <c r="S405" s="475"/>
      <c r="T405" s="477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4.4">
      <c r="A406" s="481">
        <v>365</v>
      </c>
      <c r="B406" s="173" t="s">
        <v>162</v>
      </c>
      <c r="C406" s="473" t="str">
        <f t="shared" si="11"/>
        <v>366</v>
      </c>
      <c r="D406" s="474">
        <v>366</v>
      </c>
      <c r="E406" s="173" t="s">
        <v>531</v>
      </c>
      <c r="F406" s="173" t="s">
        <v>2</v>
      </c>
      <c r="G406" s="173">
        <v>24</v>
      </c>
      <c r="H406" s="170" t="s">
        <v>3</v>
      </c>
      <c r="I406" s="372" t="s">
        <v>839</v>
      </c>
      <c r="J406" s="476"/>
      <c r="K406" s="476"/>
      <c r="L406" s="476"/>
      <c r="M406" s="170">
        <v>1</v>
      </c>
      <c r="N406" s="173"/>
      <c r="O406" s="173"/>
      <c r="P406" s="454">
        <v>1</v>
      </c>
      <c r="Q406" s="173"/>
      <c r="R406" s="477">
        <f t="shared" si="10"/>
        <v>1</v>
      </c>
      <c r="S406" s="475"/>
      <c r="T406" s="477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55.2">
      <c r="A407" s="481">
        <v>366</v>
      </c>
      <c r="B407" s="173" t="s">
        <v>162</v>
      </c>
      <c r="C407" s="473" t="str">
        <f t="shared" si="11"/>
        <v>366</v>
      </c>
      <c r="D407" s="474">
        <v>366</v>
      </c>
      <c r="E407" s="173" t="s">
        <v>532</v>
      </c>
      <c r="F407" s="173" t="s">
        <v>2</v>
      </c>
      <c r="G407" s="173">
        <v>29</v>
      </c>
      <c r="H407" s="170" t="s">
        <v>3</v>
      </c>
      <c r="I407" s="372" t="s">
        <v>840</v>
      </c>
      <c r="J407" s="476"/>
      <c r="K407" s="476"/>
      <c r="L407" s="476"/>
      <c r="M407" s="170">
        <v>1</v>
      </c>
      <c r="N407" s="173"/>
      <c r="O407" s="173">
        <v>0</v>
      </c>
      <c r="P407" s="454"/>
      <c r="Q407" s="173"/>
      <c r="R407" s="477">
        <f t="shared" si="10"/>
        <v>1</v>
      </c>
      <c r="S407" s="475"/>
      <c r="T407" s="477"/>
      <c r="U407" s="61"/>
      <c r="V407" s="61"/>
      <c r="W407" s="61"/>
      <c r="X407" s="61"/>
      <c r="Y407" s="61"/>
      <c r="Z407" s="61"/>
      <c r="AA407" s="61"/>
      <c r="AB407" s="61"/>
      <c r="AC407" s="61"/>
    </row>
  </sheetData>
  <sortState xmlns:xlrd2="http://schemas.microsoft.com/office/spreadsheetml/2017/richdata2" ref="G3:H23">
    <sortCondition ref="G3:G23"/>
  </sortState>
  <mergeCells count="34">
    <mergeCell ref="F2:G2"/>
    <mergeCell ref="F22:G22"/>
    <mergeCell ref="F17:G17"/>
    <mergeCell ref="F18:G18"/>
    <mergeCell ref="F20:G20"/>
    <mergeCell ref="F21:G21"/>
    <mergeCell ref="F16:G16"/>
    <mergeCell ref="A40:A41"/>
    <mergeCell ref="C40:C41"/>
    <mergeCell ref="F3:G3"/>
    <mergeCell ref="F4:G4"/>
    <mergeCell ref="F8:G8"/>
    <mergeCell ref="F7:G7"/>
    <mergeCell ref="F9:G9"/>
    <mergeCell ref="F10:G10"/>
    <mergeCell ref="G40:G41"/>
    <mergeCell ref="F40:F41"/>
    <mergeCell ref="D40:D41"/>
    <mergeCell ref="F5:G5"/>
    <mergeCell ref="F6:G6"/>
    <mergeCell ref="F24:G24"/>
    <mergeCell ref="E40:E41"/>
    <mergeCell ref="F26:G26"/>
    <mergeCell ref="J40:L40"/>
    <mergeCell ref="M40:Q40"/>
    <mergeCell ref="R40:R41"/>
    <mergeCell ref="T40:T41"/>
    <mergeCell ref="H40:H41"/>
    <mergeCell ref="I40:I41"/>
    <mergeCell ref="F11:G11"/>
    <mergeCell ref="F15:G15"/>
    <mergeCell ref="F14:G14"/>
    <mergeCell ref="F13:G13"/>
    <mergeCell ref="F12:G12"/>
  </mergeCells>
  <conditionalFormatting sqref="D41:D407 D408:E1048576">
    <cfRule type="containsText" dxfId="9" priority="18" operator="containsText" text="185">
      <formula>NOT(ISERROR(SEARCH("185",D41)))</formula>
    </cfRule>
  </conditionalFormatting>
  <conditionalFormatting sqref="D1:E40">
    <cfRule type="containsText" dxfId="8" priority="14" operator="containsText" text="185">
      <formula>NOT(ISERROR(SEARCH("185",D1)))</formula>
    </cfRule>
  </conditionalFormatting>
  <conditionalFormatting sqref="E42:E257">
    <cfRule type="duplicateValues" dxfId="7" priority="6"/>
  </conditionalFormatting>
  <conditionalFormatting sqref="E42:E407">
    <cfRule type="duplicateValues" dxfId="6" priority="4"/>
    <cfRule type="duplicateValues" dxfId="5" priority="5"/>
  </conditionalFormatting>
  <conditionalFormatting sqref="G42:G407">
    <cfRule type="containsText" dxfId="4" priority="3" operator="containsText" text="15">
      <formula>NOT(ISERROR(SEARCH("15",G42)))</formula>
    </cfRule>
  </conditionalFormatting>
  <conditionalFormatting sqref="H3:H10 H22:H23">
    <cfRule type="duplicateValues" dxfId="3" priority="86"/>
  </conditionalFormatting>
  <conditionalFormatting sqref="H11:H21">
    <cfRule type="duplicateValues" dxfId="2" priority="13"/>
  </conditionalFormatting>
  <conditionalFormatting sqref="H43:H257">
    <cfRule type="containsText" dxfId="1" priority="2" operator="containsText" text="No">
      <formula>NOT(ISERROR(SEARCH("No",H43)))</formula>
    </cfRule>
  </conditionalFormatting>
  <conditionalFormatting sqref="M43:M257">
    <cfRule type="containsText" dxfId="0" priority="1" operator="containsText" text="No">
      <formula>NOT(ISERROR(SEARCH("No",M43)))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1"/>
  <sheetViews>
    <sheetView topLeftCell="A9" zoomScale="96" workbookViewId="0">
      <selection activeCell="W13" sqref="W13"/>
    </sheetView>
  </sheetViews>
  <sheetFormatPr defaultColWidth="11" defaultRowHeight="13.8"/>
  <cols>
    <col min="2" max="2" width="55.5" customWidth="1"/>
    <col min="10" max="10" width="18.69921875" customWidth="1"/>
    <col min="12" max="12" width="9.296875" customWidth="1"/>
    <col min="17" max="17" width="25.8984375" customWidth="1"/>
    <col min="19" max="19" width="8.796875" customWidth="1"/>
    <col min="21" max="21" width="15.69921875" customWidth="1"/>
    <col min="22" max="22" width="11.69921875" customWidth="1"/>
    <col min="24" max="24" width="11" customWidth="1"/>
    <col min="25" max="25" width="13.09765625" customWidth="1"/>
    <col min="28" max="28" width="13" customWidth="1"/>
  </cols>
  <sheetData>
    <row r="1" spans="2:31" ht="14.4">
      <c r="J1" s="6"/>
      <c r="K1" s="6"/>
      <c r="L1" s="6"/>
    </row>
    <row r="2" spans="2:31" ht="25.8">
      <c r="B2" s="148"/>
      <c r="F2" s="23"/>
      <c r="G2" s="23"/>
      <c r="J2" s="24"/>
      <c r="K2" s="6"/>
      <c r="L2" s="6"/>
    </row>
    <row r="3" spans="2:31" ht="15" thickBot="1">
      <c r="B3" s="1"/>
      <c r="C3" s="1"/>
      <c r="D3" s="1"/>
      <c r="E3" s="1"/>
      <c r="J3" s="24"/>
      <c r="K3" s="25" t="s">
        <v>35</v>
      </c>
      <c r="L3" s="6"/>
    </row>
    <row r="4" spans="2:31" ht="63.6" customHeight="1" thickBot="1">
      <c r="C4" s="582" t="s">
        <v>36</v>
      </c>
      <c r="D4" s="583"/>
      <c r="E4" s="582" t="s">
        <v>37</v>
      </c>
      <c r="F4" s="583"/>
      <c r="G4" s="584" t="s">
        <v>38</v>
      </c>
      <c r="H4" s="585"/>
      <c r="I4" s="584" t="s">
        <v>39</v>
      </c>
      <c r="J4" s="585"/>
      <c r="K4" s="586" t="s">
        <v>40</v>
      </c>
      <c r="L4" s="587"/>
      <c r="M4" s="586" t="s">
        <v>41</v>
      </c>
      <c r="N4" s="587"/>
      <c r="O4" s="580" t="s">
        <v>42</v>
      </c>
      <c r="P4" s="581"/>
      <c r="R4" s="24"/>
      <c r="S4" s="6"/>
      <c r="T4" s="6"/>
      <c r="Y4" s="579">
        <v>2023</v>
      </c>
      <c r="Z4" s="579"/>
    </row>
    <row r="5" spans="2:31" ht="38.4" customHeight="1" thickBot="1">
      <c r="B5" s="26" t="s">
        <v>43</v>
      </c>
      <c r="C5" s="27"/>
      <c r="D5" s="28"/>
      <c r="E5" s="27"/>
      <c r="F5" s="28"/>
      <c r="G5" s="29"/>
      <c r="H5" s="30"/>
      <c r="I5" s="27"/>
      <c r="J5" s="28"/>
      <c r="K5" s="27"/>
      <c r="L5" s="28"/>
      <c r="M5" s="27"/>
      <c r="N5" s="28"/>
      <c r="O5" s="29"/>
      <c r="P5" s="30"/>
      <c r="R5" s="24"/>
      <c r="S5" s="6"/>
      <c r="T5" s="6"/>
      <c r="U5" s="6"/>
      <c r="V5" s="517" t="s">
        <v>104</v>
      </c>
      <c r="W5" s="518"/>
      <c r="X5" s="519"/>
      <c r="Y5" s="573" t="s">
        <v>91</v>
      </c>
      <c r="Z5" s="574"/>
      <c r="AA5" s="575"/>
      <c r="AB5" s="576" t="s">
        <v>106</v>
      </c>
      <c r="AC5" s="577"/>
      <c r="AD5" s="578"/>
    </row>
    <row r="6" spans="2:31" ht="18.600000000000001" customHeight="1" thickBot="1">
      <c r="B6" s="3" t="s">
        <v>44</v>
      </c>
      <c r="C6" s="31">
        <f ca="1">SUM($D$31:$D$32)</f>
        <v>366</v>
      </c>
      <c r="D6" s="28"/>
      <c r="E6" s="31" t="e">
        <f ca="1">SUM(D39:D65)</f>
        <v>#REF!</v>
      </c>
      <c r="F6" s="28"/>
      <c r="G6" s="27" t="e">
        <f>COUNTIF('six months follow-up_in person'!#REF!,"No")</f>
        <v>#REF!</v>
      </c>
      <c r="H6" s="28"/>
      <c r="I6" s="31">
        <f>COUNTIF('One year follow-up_inperson'!$R$23:$R$159,"Yes")</f>
        <v>0</v>
      </c>
      <c r="J6" s="432"/>
      <c r="K6" s="27" t="e">
        <f>COUNTIF('six months follow-up_in person'!#REF!,"Yes")</f>
        <v>#REF!</v>
      </c>
      <c r="L6" s="28"/>
      <c r="M6" s="27">
        <f>COUNTIF('One year follow-up_inperson'!$R$23:$R$4499,"No")</f>
        <v>0</v>
      </c>
      <c r="N6" s="28"/>
      <c r="O6" s="31" t="e">
        <f>G6</f>
        <v>#REF!</v>
      </c>
      <c r="P6" s="28"/>
      <c r="Q6" s="339"/>
      <c r="R6" s="24"/>
      <c r="S6" s="6"/>
      <c r="T6" s="490" t="s">
        <v>110</v>
      </c>
      <c r="U6" s="491"/>
      <c r="V6" s="266" t="s">
        <v>105</v>
      </c>
      <c r="W6" s="268" t="s">
        <v>107</v>
      </c>
      <c r="X6" s="266" t="s">
        <v>76</v>
      </c>
      <c r="Y6" s="265" t="s">
        <v>105</v>
      </c>
      <c r="Z6" s="266" t="s">
        <v>107</v>
      </c>
      <c r="AA6" s="267" t="s">
        <v>76</v>
      </c>
      <c r="AB6" s="265" t="s">
        <v>105</v>
      </c>
      <c r="AC6" s="266" t="s">
        <v>107</v>
      </c>
      <c r="AD6" s="267" t="s">
        <v>76</v>
      </c>
    </row>
    <row r="7" spans="2:31" ht="20.399999999999999" customHeight="1">
      <c r="C7" s="32"/>
      <c r="D7" s="28"/>
      <c r="E7" s="27"/>
      <c r="F7" s="28"/>
      <c r="G7" s="27"/>
      <c r="H7" s="28"/>
      <c r="I7" s="27"/>
      <c r="J7" s="28"/>
      <c r="K7" s="27"/>
      <c r="L7" s="28"/>
      <c r="M7" s="27"/>
      <c r="N7" s="28"/>
      <c r="O7" s="27"/>
      <c r="P7" s="28"/>
      <c r="Q7" s="339"/>
      <c r="T7" s="492" t="s">
        <v>92</v>
      </c>
      <c r="U7" s="493"/>
      <c r="V7" s="269">
        <f>C13</f>
        <v>166</v>
      </c>
      <c r="W7" s="244">
        <f ca="1">E33</f>
        <v>366</v>
      </c>
      <c r="X7" s="270">
        <f ca="1">V7/W7</f>
        <v>0.45355191256830601</v>
      </c>
      <c r="Y7" s="271">
        <v>0</v>
      </c>
      <c r="Z7" s="272">
        <v>15</v>
      </c>
      <c r="AA7" s="273">
        <f>Y7/Z7</f>
        <v>0</v>
      </c>
      <c r="AB7" s="274">
        <f>V7+Y7</f>
        <v>166</v>
      </c>
      <c r="AC7" s="275">
        <f ca="1">W7+Z7</f>
        <v>381</v>
      </c>
      <c r="AD7" s="273">
        <f ca="1">AB7/AC7</f>
        <v>0.4356955380577428</v>
      </c>
    </row>
    <row r="8" spans="2:31" ht="22.2" customHeight="1">
      <c r="B8" s="3" t="s">
        <v>45</v>
      </c>
      <c r="C8" s="21">
        <f>COUNTIF('six months follow-up_in person'!$H$42:$H$407,"Yes")</f>
        <v>342</v>
      </c>
      <c r="D8" s="33">
        <f ca="1">C8/C6</f>
        <v>0.93442622950819676</v>
      </c>
      <c r="E8" s="27">
        <f>COUNTIF('One year follow-up_inperson'!$F$23:$F$4510,"Yes")</f>
        <v>0</v>
      </c>
      <c r="F8" s="34" t="e">
        <f ca="1">E8/E6</f>
        <v>#REF!</v>
      </c>
      <c r="G8" s="27" t="e">
        <f>COUNTIFS('six months follow-up_in person'!#REF!, "Yes",'six months follow-up_in person'!#REF!,"No")</f>
        <v>#REF!</v>
      </c>
      <c r="H8" s="34" t="e">
        <f>G8/G6</f>
        <v>#REF!</v>
      </c>
      <c r="I8" s="31">
        <f>COUNTIFS('One year follow-up_inperson'!$F$23:$F$4499, "Yes",'One year follow-up_inperson'!$R$23:$R$4499,"Yes")</f>
        <v>0</v>
      </c>
      <c r="J8" s="34" t="e">
        <f>I8/$I$6</f>
        <v>#DIV/0!</v>
      </c>
      <c r="K8" s="31" t="e">
        <f>COUNTIFS('six months follow-up_in person'!#REF!, "Yes",'six months follow-up_in person'!#REF!,"Yes")</f>
        <v>#REF!</v>
      </c>
      <c r="L8" s="34" t="e">
        <f>K8/$K$6</f>
        <v>#REF!</v>
      </c>
      <c r="M8" s="31">
        <f>COUNTIFS('One year follow-up_inperson'!$F$23:$F$4499,"Yes",'One year follow-up_inperson'!$R$23:$R$4499,"No")</f>
        <v>0</v>
      </c>
      <c r="N8" s="34" t="e">
        <f>M8/M6</f>
        <v>#DIV/0!</v>
      </c>
      <c r="O8" s="31" t="e">
        <f>SUM(E8,G8)</f>
        <v>#REF!</v>
      </c>
      <c r="P8" s="345" t="e">
        <f>O8/$O$6</f>
        <v>#REF!</v>
      </c>
      <c r="T8" s="494" t="s">
        <v>93</v>
      </c>
      <c r="U8" s="495"/>
      <c r="V8" s="269">
        <f t="shared" ref="V8:V12" si="0">C14</f>
        <v>120</v>
      </c>
      <c r="W8" s="244">
        <v>366</v>
      </c>
      <c r="X8" s="270">
        <f>V8/W8</f>
        <v>0.32786885245901637</v>
      </c>
      <c r="Y8" s="271">
        <v>1</v>
      </c>
      <c r="Z8" s="269" t="e">
        <f ca="1">' Analysis_Stats_Virtual'!G74+' Analysis_Stats_Virtual'!O50</f>
        <v>#REF!</v>
      </c>
      <c r="AA8" s="273" t="e">
        <f t="shared" ref="AA8:AA12" ca="1" si="1">Y8/Z8</f>
        <v>#REF!</v>
      </c>
      <c r="AB8" s="274">
        <f t="shared" ref="AB8:AC12" si="2">V8+Y8</f>
        <v>121</v>
      </c>
      <c r="AC8" s="275" t="e">
        <f t="shared" ca="1" si="2"/>
        <v>#REF!</v>
      </c>
      <c r="AD8" s="273" t="e">
        <f t="shared" ref="AD8:AD11" ca="1" si="3">AB8/AC8</f>
        <v>#REF!</v>
      </c>
    </row>
    <row r="9" spans="2:31" ht="21.6" customHeight="1" thickBot="1">
      <c r="B9" s="3" t="s">
        <v>46</v>
      </c>
      <c r="C9" s="35">
        <f>COUNTIF('six months follow-up_in person'!$H$42:$H$407,"No")</f>
        <v>24</v>
      </c>
      <c r="D9" s="36">
        <f ca="1">C9/C6</f>
        <v>6.5573770491803282E-2</v>
      </c>
      <c r="E9" s="37">
        <f>COUNTIF('One year follow-up_inperson'!$F$23:$F$4510,"No")</f>
        <v>0</v>
      </c>
      <c r="F9" s="38" t="e">
        <f ca="1">E9/E6</f>
        <v>#REF!</v>
      </c>
      <c r="G9" s="37" t="e">
        <f>COUNTIFS('six months follow-up_in person'!#REF!, "No",'six months follow-up_in person'!#REF!,"No")</f>
        <v>#REF!</v>
      </c>
      <c r="H9" s="38" t="e">
        <f>G9/G6</f>
        <v>#REF!</v>
      </c>
      <c r="I9" s="39">
        <f>COUNTIFS('One year follow-up_inperson'!$F$23:$F$4499, "No",'One year follow-up_inperson'!$R$23:$R$4499,"Yes")</f>
        <v>0</v>
      </c>
      <c r="J9" s="38" t="e">
        <f t="shared" ref="J9" si="4">I9/$I$6</f>
        <v>#DIV/0!</v>
      </c>
      <c r="K9" s="39" t="e">
        <f>COUNTIFS('six months follow-up_in person'!#REF!, "No",'six months follow-up_in person'!#REF!,"Yes")</f>
        <v>#REF!</v>
      </c>
      <c r="L9" s="38" t="e">
        <f t="shared" ref="L9" si="5">K9/$K$6</f>
        <v>#REF!</v>
      </c>
      <c r="M9" s="39" t="e">
        <f>COUNTIFS('One year follow-up_inperson'!#REF!, "No",'One year follow-up_inperson'!#REF!,"No")</f>
        <v>#REF!</v>
      </c>
      <c r="N9" s="38" t="e">
        <f>M9/M6</f>
        <v>#REF!</v>
      </c>
      <c r="O9" s="39" t="e">
        <f>SUM(E9,G9)</f>
        <v>#REF!</v>
      </c>
      <c r="P9" s="38" t="e">
        <f t="shared" ref="P9" si="6">O9/$O$6</f>
        <v>#REF!</v>
      </c>
      <c r="T9" s="494" t="s">
        <v>94</v>
      </c>
      <c r="U9" s="495"/>
      <c r="V9" s="269">
        <f t="shared" si="0"/>
        <v>26</v>
      </c>
      <c r="W9" s="244">
        <v>366</v>
      </c>
      <c r="X9" s="270">
        <f t="shared" ref="X9:X12" si="7">V9/W9</f>
        <v>7.1038251366120214E-2</v>
      </c>
      <c r="Y9" s="271">
        <v>0</v>
      </c>
      <c r="Z9" s="269" t="e">
        <f ca="1">' Analysis_Stats_Virtual'!F74+' Analysis_Stats_Virtual'!N50</f>
        <v>#REF!</v>
      </c>
      <c r="AA9" s="273" t="e">
        <f t="shared" ca="1" si="1"/>
        <v>#REF!</v>
      </c>
      <c r="AB9" s="274">
        <f t="shared" si="2"/>
        <v>26</v>
      </c>
      <c r="AC9" s="275" t="e">
        <f t="shared" ca="1" si="2"/>
        <v>#REF!</v>
      </c>
      <c r="AD9" s="273" t="e">
        <f t="shared" ca="1" si="3"/>
        <v>#REF!</v>
      </c>
    </row>
    <row r="10" spans="2:31" ht="17.399999999999999" customHeight="1">
      <c r="D10" s="40"/>
      <c r="F10" s="41"/>
      <c r="T10" s="494" t="s">
        <v>109</v>
      </c>
      <c r="U10" s="495"/>
      <c r="V10" s="269">
        <f t="shared" si="0"/>
        <v>82</v>
      </c>
      <c r="W10" s="244">
        <v>366</v>
      </c>
      <c r="X10" s="270">
        <f t="shared" si="7"/>
        <v>0.22404371584699453</v>
      </c>
      <c r="Y10" s="271">
        <v>0</v>
      </c>
      <c r="Z10" s="269">
        <v>15</v>
      </c>
      <c r="AA10" s="273">
        <f t="shared" si="1"/>
        <v>0</v>
      </c>
      <c r="AB10" s="274">
        <f t="shared" si="2"/>
        <v>82</v>
      </c>
      <c r="AC10" s="275">
        <f t="shared" si="2"/>
        <v>381</v>
      </c>
      <c r="AD10" s="273">
        <f t="shared" si="3"/>
        <v>0.21522309711286089</v>
      </c>
    </row>
    <row r="11" spans="2:31" ht="24.6" customHeight="1" thickBot="1">
      <c r="D11" s="40"/>
      <c r="F11" s="41"/>
      <c r="T11" s="494" t="s">
        <v>108</v>
      </c>
      <c r="U11" s="495"/>
      <c r="V11" s="269">
        <f t="shared" si="0"/>
        <v>342</v>
      </c>
      <c r="W11" s="244">
        <v>366</v>
      </c>
      <c r="X11" s="270">
        <f t="shared" si="7"/>
        <v>0.93442622950819676</v>
      </c>
      <c r="Y11" s="271">
        <v>3</v>
      </c>
      <c r="Z11" s="269">
        <v>15</v>
      </c>
      <c r="AA11" s="348">
        <f t="shared" si="1"/>
        <v>0.2</v>
      </c>
      <c r="AB11" s="274">
        <f t="shared" si="2"/>
        <v>345</v>
      </c>
      <c r="AC11" s="275">
        <f>W11+Z11</f>
        <v>381</v>
      </c>
      <c r="AD11" s="348">
        <f t="shared" si="3"/>
        <v>0.90551181102362199</v>
      </c>
    </row>
    <row r="12" spans="2:31" ht="26.4" customHeight="1" thickBot="1">
      <c r="B12" s="26" t="s">
        <v>47</v>
      </c>
      <c r="C12" s="29"/>
      <c r="D12" s="42"/>
      <c r="E12" s="29"/>
      <c r="F12" s="43"/>
      <c r="G12" s="29"/>
      <c r="H12" s="30"/>
      <c r="I12" s="29"/>
      <c r="J12" s="30"/>
      <c r="K12" s="44"/>
      <c r="L12" s="45"/>
      <c r="M12" s="193"/>
      <c r="N12" s="194"/>
      <c r="O12" s="45"/>
      <c r="P12" s="30"/>
      <c r="T12" s="504" t="s">
        <v>30</v>
      </c>
      <c r="U12" s="505"/>
      <c r="V12" s="269">
        <f t="shared" si="0"/>
        <v>352</v>
      </c>
      <c r="W12" s="244">
        <v>366</v>
      </c>
      <c r="X12" s="270">
        <f t="shared" si="7"/>
        <v>0.96174863387978138</v>
      </c>
      <c r="Y12" s="279">
        <v>4</v>
      </c>
      <c r="Z12" s="280">
        <v>15</v>
      </c>
      <c r="AA12" s="349">
        <f t="shared" si="1"/>
        <v>0.26666666666666666</v>
      </c>
      <c r="AB12" s="281">
        <f t="shared" si="2"/>
        <v>356</v>
      </c>
      <c r="AC12" s="282">
        <f>W12+Z12</f>
        <v>381</v>
      </c>
      <c r="AD12" s="349">
        <f>AB12/AC12</f>
        <v>0.93438320209973758</v>
      </c>
    </row>
    <row r="13" spans="2:31" ht="14.4">
      <c r="B13" s="3" t="s">
        <v>48</v>
      </c>
      <c r="C13" s="46">
        <f>COUNTIF('six months follow-up_in person'!$N$42:$N$407, 1)</f>
        <v>166</v>
      </c>
      <c r="D13" s="47">
        <f ca="1">C13/E33</f>
        <v>0.45355191256830601</v>
      </c>
      <c r="E13" s="46">
        <f>COUNTIF('One year follow-up_inperson'!$L$23:$L$4510, 1)</f>
        <v>0</v>
      </c>
      <c r="F13" s="47" t="e">
        <f ca="1">E13/E66</f>
        <v>#REF!</v>
      </c>
      <c r="G13" s="48">
        <f>COUNTIFS('six months follow-up_in person'!$N$42:$N$407, 1,'six months follow-up_in person'!$T$42:$T$407,"No")</f>
        <v>1</v>
      </c>
      <c r="H13" s="47" t="e">
        <f ca="1">G13/M33</f>
        <v>#REF!</v>
      </c>
      <c r="I13" s="31">
        <f>COUNTIFS('One year follow-up_inperson'!$L$23:$L$4499, 1,'One year follow-up_inperson'!$R$23:$R$4499,"Yes")</f>
        <v>0</v>
      </c>
      <c r="J13" s="47" t="e">
        <f ca="1">I13/M66</f>
        <v>#REF!</v>
      </c>
      <c r="K13" s="49" t="e">
        <f>COUNTIFS('six months follow-up_in person'!#REF!, 1,'six months follow-up_in person'!#REF!,"Yes")</f>
        <v>#REF!</v>
      </c>
      <c r="L13" s="190" t="e">
        <f ca="1">K13/T33</f>
        <v>#REF!</v>
      </c>
      <c r="M13" s="195" t="e">
        <f>COUNTIFS('One year follow-up_inperson'!#REF!, 1,'One year follow-up_inperson'!#REF!,"No")</f>
        <v>#REF!</v>
      </c>
      <c r="N13" s="196" t="e">
        <f ca="1">M13/T66</f>
        <v>#REF!</v>
      </c>
      <c r="O13" s="191">
        <f>SUM(E13,G13)</f>
        <v>1</v>
      </c>
      <c r="P13" s="342" t="e">
        <f ca="1">O13/(SUM($E$66,$M$33))</f>
        <v>#REF!</v>
      </c>
      <c r="S13" s="41"/>
      <c r="T13" s="50"/>
      <c r="U13" s="49"/>
      <c r="V13" s="41"/>
      <c r="W13" s="41"/>
      <c r="X13" s="3"/>
      <c r="AE13" s="78"/>
    </row>
    <row r="14" spans="2:31" ht="14.4">
      <c r="B14" s="3" t="s">
        <v>49</v>
      </c>
      <c r="C14" s="46">
        <f>COUNTIF('six months follow-up_in person'!$O$42:$O$407, 1)</f>
        <v>120</v>
      </c>
      <c r="D14" s="47">
        <f ca="1">C14/G33</f>
        <v>0.32786885245901637</v>
      </c>
      <c r="E14" s="46">
        <f>COUNTIF('One year follow-up_inperson'!$M$23:$M$4510, "1")</f>
        <v>0</v>
      </c>
      <c r="F14" s="47" t="e">
        <f ca="1">E14/G66</f>
        <v>#REF!</v>
      </c>
      <c r="G14" s="48" t="e">
        <f>COUNTIFS('six months follow-up_in person'!#REF!, 1,'six months follow-up_in person'!#REF!,"No")</f>
        <v>#REF!</v>
      </c>
      <c r="H14" s="47" t="e">
        <f ca="1">G14/O33</f>
        <v>#REF!</v>
      </c>
      <c r="I14" s="31">
        <f>COUNTIFS('One year follow-up_inperson'!$M$23:$M$4499, 1,'One year follow-up_inperson'!$R$23:$R$4499,"Yes")</f>
        <v>0</v>
      </c>
      <c r="J14" s="47" t="e">
        <f ca="1">I14/O66</f>
        <v>#REF!</v>
      </c>
      <c r="K14" s="49" t="e">
        <f>COUNTIFS('six months follow-up_in person'!#REF!, 1,'six months follow-up_in person'!#REF!,"Yes")</f>
        <v>#REF!</v>
      </c>
      <c r="L14" s="190" t="e">
        <f ca="1">K14/V33</f>
        <v>#REF!</v>
      </c>
      <c r="M14" s="195" t="e">
        <f>COUNTIFS('One year follow-up_inperson'!#REF!, 1,'One year follow-up_inperson'!#REF!,"No")</f>
        <v>#REF!</v>
      </c>
      <c r="N14" s="196" t="e">
        <f ca="1">M14/V66</f>
        <v>#REF!</v>
      </c>
      <c r="O14" s="191" t="e">
        <f t="shared" ref="O14:O15" si="8">SUM(E14,G14)</f>
        <v>#REF!</v>
      </c>
      <c r="P14" s="342" t="e">
        <f ca="1">O14/SUM(G66,O33)</f>
        <v>#REF!</v>
      </c>
      <c r="S14" s="41"/>
    </row>
    <row r="15" spans="2:31" ht="17.399999999999999" customHeight="1">
      <c r="B15" s="452" t="s">
        <v>131</v>
      </c>
      <c r="C15" s="46">
        <f>COUNTIF('six months follow-up_in person'!$P$42:$P$407, 1)</f>
        <v>26</v>
      </c>
      <c r="D15" s="47">
        <f ca="1">C15/F33</f>
        <v>7.1038251366120214E-2</v>
      </c>
      <c r="E15" s="46">
        <f>COUNTIF('One year follow-up_inperson'!$N$23:$N$4510, "1")</f>
        <v>0</v>
      </c>
      <c r="F15" s="47" t="str">
        <f ca="1">IFERROR(E15/F66, "NA")</f>
        <v>NA</v>
      </c>
      <c r="G15" s="48" t="e">
        <f>COUNTIFS('six months follow-up_in person'!#REF!, 1,'six months follow-up_in person'!#REF!,"No")</f>
        <v>#REF!</v>
      </c>
      <c r="H15" s="47" t="e">
        <f>G15/N33</f>
        <v>#REF!</v>
      </c>
      <c r="I15" s="31">
        <f>COUNTIFS('One year follow-up_inperson'!$N$23:$N$4499, 1,'One year follow-up_inperson'!$R$23:$R$4499,"Yes")</f>
        <v>0</v>
      </c>
      <c r="J15" s="47" t="e">
        <f ca="1">I15/N66</f>
        <v>#REF!</v>
      </c>
      <c r="K15" s="49" t="e">
        <f>COUNTIFS('six months follow-up_in person'!#REF!, 1,'six months follow-up_in person'!#REF!,"Yes")</f>
        <v>#REF!</v>
      </c>
      <c r="L15" s="190" t="e">
        <f ca="1">K15/U33</f>
        <v>#REF!</v>
      </c>
      <c r="M15" s="195" t="e">
        <f>COUNTIFS('One year follow-up_inperson'!#REF!, 1,'One year follow-up_inperson'!#REF!,"No")</f>
        <v>#REF!</v>
      </c>
      <c r="N15" s="196" t="e">
        <f ca="1">M15/U66</f>
        <v>#REF!</v>
      </c>
      <c r="O15" s="191" t="e">
        <f t="shared" si="8"/>
        <v>#REF!</v>
      </c>
      <c r="P15" s="342" t="e">
        <f ca="1">O15/SUM(F66,N33)</f>
        <v>#REF!</v>
      </c>
      <c r="S15" s="41"/>
    </row>
    <row r="16" spans="2:31" ht="14.4">
      <c r="B16" s="3" t="s">
        <v>83</v>
      </c>
      <c r="C16" s="46">
        <f>COUNTIF('six months follow-up_in person'!$Q$42:$Q$407, 1)</f>
        <v>82</v>
      </c>
      <c r="D16" s="33">
        <f ca="1">C16/C6</f>
        <v>0.22404371584699453</v>
      </c>
      <c r="E16" s="46">
        <f>COUNTIF('One year follow-up_inperson'!$O$23:$O$4510, "1")</f>
        <v>0</v>
      </c>
      <c r="F16" s="33" t="e">
        <f ca="1">E16/E6</f>
        <v>#REF!</v>
      </c>
      <c r="G16" s="48" t="e">
        <f>COUNTIFS('six months follow-up_in person'!#REF!, 1,'six months follow-up_in person'!#REF!,"No")</f>
        <v>#REF!</v>
      </c>
      <c r="H16" s="198" t="e">
        <f>G16/G6</f>
        <v>#REF!</v>
      </c>
      <c r="I16" s="31" t="e">
        <f>COUNTIFS('One year follow-up_inperson'!#REF!, 1,'One year follow-up_inperson'!#REF!,"Yes")</f>
        <v>#REF!</v>
      </c>
      <c r="J16" s="198" t="e">
        <f>I16/I6</f>
        <v>#REF!</v>
      </c>
      <c r="K16" s="49" t="e">
        <f>COUNTIFS('six months follow-up_in person'!#REF!, 1,'six months follow-up_in person'!#REF!,"Yes")</f>
        <v>#REF!</v>
      </c>
      <c r="L16" s="200" t="e">
        <f>K16/K6</f>
        <v>#REF!</v>
      </c>
      <c r="M16" s="195" t="e">
        <f>COUNTIFS('One year follow-up_inperson'!#REF!, 1,'One year follow-up_inperson'!#REF!,"No")</f>
        <v>#REF!</v>
      </c>
      <c r="N16" s="202" t="e">
        <f>M16/M6</f>
        <v>#REF!</v>
      </c>
      <c r="O16" s="191" t="e">
        <f>SUM(E16,G16)</f>
        <v>#REF!</v>
      </c>
      <c r="P16" s="343" t="e">
        <f>O16/O6</f>
        <v>#REF!</v>
      </c>
      <c r="S16" s="41"/>
    </row>
    <row r="17" spans="1:26" ht="14.4">
      <c r="B17" s="3" t="s">
        <v>84</v>
      </c>
      <c r="C17" s="46">
        <f>COUNTIF('six months follow-up_in person'!$M$42:$M$407, 1)</f>
        <v>342</v>
      </c>
      <c r="D17" s="33">
        <f ca="1">C17/C6</f>
        <v>0.93442622950819676</v>
      </c>
      <c r="E17" s="46">
        <f>COUNTIF('One year follow-up_inperson'!$K$23:$K$4510, "1")</f>
        <v>0</v>
      </c>
      <c r="F17" s="33" t="e">
        <f ca="1">E17/E6</f>
        <v>#REF!</v>
      </c>
      <c r="G17" s="48" t="e">
        <f>COUNTIFS('six months follow-up_in person'!#REF!, 1,'six months follow-up_in person'!#REF!,"No")</f>
        <v>#REF!</v>
      </c>
      <c r="H17" s="198" t="e">
        <f>G17/G6</f>
        <v>#REF!</v>
      </c>
      <c r="I17" s="31" t="e">
        <f>COUNTIFS('One year follow-up_inperson'!#REF!, 1,'One year follow-up_inperson'!#REF!,"Yes")</f>
        <v>#REF!</v>
      </c>
      <c r="J17" s="198" t="e">
        <f>I17/I6</f>
        <v>#REF!</v>
      </c>
      <c r="K17" s="49" t="e">
        <f>COUNTIFS('six months follow-up_in person'!#REF!, 1,'six months follow-up_in person'!#REF!,"Yes")</f>
        <v>#REF!</v>
      </c>
      <c r="L17" s="200" t="e">
        <f>K17/K6</f>
        <v>#REF!</v>
      </c>
      <c r="M17" s="195" t="e">
        <f>COUNTIFS('One year follow-up_inperson'!#REF!, 1,'One year follow-up_inperson'!#REF!,"No")</f>
        <v>#REF!</v>
      </c>
      <c r="N17" s="202" t="e">
        <f>M17/M6</f>
        <v>#REF!</v>
      </c>
      <c r="O17" s="191" t="e">
        <f>SUM(E17,G17)</f>
        <v>#REF!</v>
      </c>
      <c r="P17" s="343" t="e">
        <f>O17/O6</f>
        <v>#REF!</v>
      </c>
      <c r="Q17" s="41"/>
      <c r="R17" s="24"/>
      <c r="S17" s="41"/>
    </row>
    <row r="18" spans="1:26" ht="15" thickBot="1">
      <c r="B18" s="3" t="s">
        <v>151</v>
      </c>
      <c r="C18" s="51">
        <f>COUNTIF('six months follow-up_in person'!$R$42:$R$407, 1)</f>
        <v>352</v>
      </c>
      <c r="D18" s="36">
        <f ca="1">C18/C6</f>
        <v>0.96174863387978138</v>
      </c>
      <c r="E18" s="51">
        <f>COUNTIF('One year follow-up_inperson'!$P$23:$P$4510, "1")</f>
        <v>0</v>
      </c>
      <c r="F18" s="36" t="e">
        <f ca="1">E18/E6</f>
        <v>#REF!</v>
      </c>
      <c r="G18" s="52" t="e">
        <f>COUNTIFS('six months follow-up_in person'!#REF!, 1,'six months follow-up_in person'!#REF!,"No")</f>
        <v>#REF!</v>
      </c>
      <c r="H18" s="199" t="e">
        <f>G18/G6</f>
        <v>#REF!</v>
      </c>
      <c r="I18" s="39" t="e">
        <f>COUNTIFS('One year follow-up_inperson'!#REF!, 1,'One year follow-up_inperson'!#REF!,"Yes")</f>
        <v>#REF!</v>
      </c>
      <c r="J18" s="199" t="e">
        <f>I18/I6</f>
        <v>#REF!</v>
      </c>
      <c r="K18" s="53" t="e">
        <f>COUNTIFS('six months follow-up_in person'!#REF!, 1,'six months follow-up_in person'!#REF!,"Yes")</f>
        <v>#REF!</v>
      </c>
      <c r="L18" s="201" t="e">
        <f>K18/K6</f>
        <v>#REF!</v>
      </c>
      <c r="M18" s="197" t="e">
        <f>COUNTIFS('One year follow-up_inperson'!#REF!, 1,'One year follow-up_inperson'!#REF!,"No")</f>
        <v>#REF!</v>
      </c>
      <c r="N18" s="203" t="e">
        <f>M18/M6</f>
        <v>#REF!</v>
      </c>
      <c r="O18" s="192" t="e">
        <f>SUM(E18,G18)</f>
        <v>#REF!</v>
      </c>
      <c r="P18" s="344" t="e">
        <f>O18/O6</f>
        <v>#REF!</v>
      </c>
      <c r="R18" s="24"/>
      <c r="S18" s="41"/>
    </row>
    <row r="19" spans="1:26" ht="14.4">
      <c r="J19" s="6"/>
      <c r="K19" s="6"/>
      <c r="L19" s="6"/>
      <c r="R19" s="6"/>
      <c r="S19" s="6"/>
    </row>
    <row r="20" spans="1:26" ht="14.4">
      <c r="A20" s="62"/>
      <c r="B20" s="62"/>
      <c r="J20" s="6"/>
      <c r="K20" s="6"/>
      <c r="L20" s="6"/>
      <c r="P20" s="204"/>
      <c r="Q20" s="205"/>
    </row>
    <row r="21" spans="1:26" ht="14.4">
      <c r="A21" s="62"/>
      <c r="B21" s="253"/>
      <c r="H21" s="78"/>
      <c r="J21" s="79"/>
      <c r="K21" s="6"/>
      <c r="L21" s="6"/>
      <c r="P21" s="206"/>
      <c r="Q21" s="205"/>
    </row>
    <row r="22" spans="1:26" ht="14.4">
      <c r="A22" s="62"/>
      <c r="B22" s="253"/>
      <c r="H22" s="78"/>
      <c r="J22" s="79"/>
      <c r="K22" s="49"/>
      <c r="L22" s="6"/>
      <c r="P22" s="204"/>
      <c r="Q22" s="205"/>
    </row>
    <row r="23" spans="1:26" ht="14.4">
      <c r="A23" s="62"/>
      <c r="B23" s="253"/>
      <c r="H23" s="78"/>
      <c r="J23" s="79"/>
      <c r="K23" s="6"/>
      <c r="L23" s="6"/>
      <c r="P23" s="207"/>
      <c r="Q23" s="205"/>
    </row>
    <row r="24" spans="1:26" ht="14.4">
      <c r="A24" s="62"/>
      <c r="B24" s="62"/>
      <c r="D24" s="78"/>
      <c r="F24" s="78"/>
      <c r="J24" s="6"/>
      <c r="K24" s="6"/>
      <c r="L24" s="6"/>
    </row>
    <row r="25" spans="1:26" ht="14.4">
      <c r="B25" s="62"/>
      <c r="D25" s="78"/>
      <c r="F25" s="78"/>
      <c r="J25" s="6"/>
      <c r="K25" s="6"/>
      <c r="L25" s="6"/>
    </row>
    <row r="26" spans="1:26" ht="14.4">
      <c r="A26" s="6"/>
      <c r="B26" s="6"/>
      <c r="C26" s="49"/>
      <c r="D26" s="49"/>
      <c r="E26" s="49"/>
      <c r="F26" s="49"/>
      <c r="G26" s="49"/>
      <c r="H26" s="6"/>
      <c r="I26" s="6"/>
      <c r="J26" s="6"/>
      <c r="K26" s="6"/>
      <c r="L26" s="6"/>
      <c r="M26" s="6"/>
      <c r="N26" s="6"/>
      <c r="O26" s="6"/>
      <c r="V26" s="6"/>
      <c r="W26" s="6"/>
      <c r="X26" s="6"/>
      <c r="Y26" s="6"/>
      <c r="Z26" s="6"/>
    </row>
    <row r="27" spans="1:26" ht="14.4">
      <c r="A27" s="6"/>
      <c r="B27" s="6"/>
      <c r="C27" s="49"/>
      <c r="D27" s="49"/>
      <c r="E27" s="49"/>
      <c r="F27" s="49"/>
      <c r="G27" s="4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thickBot="1">
      <c r="A28" s="6"/>
      <c r="B28" s="2" t="s">
        <v>52</v>
      </c>
      <c r="C28" s="49"/>
      <c r="D28" s="49"/>
      <c r="E28" s="49"/>
      <c r="F28" s="49"/>
      <c r="G28" s="49"/>
      <c r="H28" s="6"/>
      <c r="I28" s="6"/>
      <c r="J28" s="6"/>
      <c r="K28" s="4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232" t="s">
        <v>53</v>
      </c>
      <c r="B29" s="233" t="s">
        <v>54</v>
      </c>
      <c r="C29" s="306"/>
      <c r="D29" s="306"/>
      <c r="E29" s="306"/>
      <c r="F29" s="306"/>
      <c r="G29" s="306"/>
      <c r="H29" s="236"/>
      <c r="I29" s="236"/>
      <c r="J29" s="233" t="s">
        <v>55</v>
      </c>
      <c r="K29" s="307"/>
      <c r="L29" s="236"/>
      <c r="M29" s="236"/>
      <c r="N29" s="236"/>
      <c r="O29" s="378"/>
      <c r="P29" s="6"/>
      <c r="Q29" s="314" t="s">
        <v>56</v>
      </c>
      <c r="R29" s="291"/>
      <c r="S29" s="291"/>
      <c r="T29" s="291"/>
      <c r="U29" s="291"/>
      <c r="V29" s="292"/>
      <c r="W29" s="6"/>
      <c r="X29" s="6"/>
      <c r="Y29" s="6"/>
      <c r="Z29" s="6"/>
    </row>
    <row r="30" spans="1:26" ht="14.4">
      <c r="A30" s="237"/>
      <c r="B30" s="181"/>
      <c r="C30" s="219" t="s">
        <v>57</v>
      </c>
      <c r="D30" s="219" t="s">
        <v>58</v>
      </c>
      <c r="E30" s="219" t="s">
        <v>59</v>
      </c>
      <c r="F30" s="219" t="s">
        <v>60</v>
      </c>
      <c r="G30" s="210" t="s">
        <v>102</v>
      </c>
      <c r="H30" s="242" t="s">
        <v>101</v>
      </c>
      <c r="I30" s="181"/>
      <c r="J30" s="238" t="s">
        <v>61</v>
      </c>
      <c r="K30" s="219" t="s">
        <v>57</v>
      </c>
      <c r="L30" s="219" t="s">
        <v>58</v>
      </c>
      <c r="M30" s="219" t="s">
        <v>59</v>
      </c>
      <c r="N30" s="219" t="s">
        <v>60</v>
      </c>
      <c r="O30" s="220" t="s">
        <v>102</v>
      </c>
      <c r="Q30" s="315"/>
      <c r="R30" s="219" t="s">
        <v>57</v>
      </c>
      <c r="S30" s="219" t="s">
        <v>58</v>
      </c>
      <c r="T30" s="219" t="s">
        <v>59</v>
      </c>
      <c r="U30" s="219" t="s">
        <v>60</v>
      </c>
      <c r="V30" s="220" t="s">
        <v>102</v>
      </c>
    </row>
    <row r="31" spans="1:26" ht="14.4">
      <c r="A31" s="237"/>
      <c r="B31" s="181" t="str">
        <f>'six months follow-up_in person'!F2</f>
        <v>Community Programs - Kirehe and Gakenke</v>
      </c>
      <c r="C31" s="308" t="str">
        <f ca="1">IFERROR(__xludf.DUMMYFUNCTION("""COMPUTED_VALUE"""),"366")</f>
        <v>366</v>
      </c>
      <c r="D31" s="308">
        <f ca="1">COUNTIF('six months follow-up_in person'!$C$33:$C$407,C31)</f>
        <v>366</v>
      </c>
      <c r="E31" s="250" t="s">
        <v>3</v>
      </c>
      <c r="F31" s="250" t="s">
        <v>3</v>
      </c>
      <c r="G31" s="250" t="s">
        <v>3</v>
      </c>
      <c r="H31" s="185" t="b">
        <f ca="1">'six months follow-up_in person'!J2=' Analysis_Stats_in person'!D31</f>
        <v>1</v>
      </c>
      <c r="I31" s="181"/>
      <c r="J31" s="181" t="str">
        <f>B31</f>
        <v>Community Programs - Kirehe and Gakenke</v>
      </c>
      <c r="K31" s="308" t="str">
        <f ca="1">IFERROR(__xludf.DUMMYFUNCTION("""COMPUTED_VALUE"""),"244")</f>
        <v>244</v>
      </c>
      <c r="L31" s="308" t="e">
        <f ca="1">COUNTIF('six months follow-up_in person'!#REF!,K31)</f>
        <v>#REF!</v>
      </c>
      <c r="M31" s="250" t="s">
        <v>3</v>
      </c>
      <c r="N31" s="250" t="s">
        <v>5</v>
      </c>
      <c r="O31" s="250" t="s">
        <v>3</v>
      </c>
      <c r="Q31" s="181" t="s">
        <v>157</v>
      </c>
      <c r="R31" s="308" t="s">
        <v>841</v>
      </c>
      <c r="S31" s="308">
        <v>366</v>
      </c>
      <c r="T31" s="250" t="str">
        <f>E31</f>
        <v>Yes</v>
      </c>
      <c r="U31" s="250" t="s">
        <v>3</v>
      </c>
      <c r="V31" s="250" t="s">
        <v>3</v>
      </c>
    </row>
    <row r="32" spans="1:26" ht="15" thickBot="1">
      <c r="A32" s="237"/>
      <c r="B32" s="181"/>
      <c r="C32" s="308"/>
      <c r="D32" s="308"/>
      <c r="E32" s="248"/>
      <c r="F32" s="248"/>
      <c r="G32" s="247"/>
      <c r="H32" s="185"/>
      <c r="I32" s="181"/>
      <c r="J32" s="181"/>
      <c r="K32" s="308"/>
      <c r="L32" s="309"/>
      <c r="M32" s="248"/>
      <c r="N32" s="248"/>
      <c r="O32" s="249"/>
      <c r="Q32" s="316"/>
      <c r="R32" s="61"/>
      <c r="S32" s="308"/>
      <c r="T32" s="248"/>
      <c r="U32" s="248"/>
      <c r="V32" s="249"/>
    </row>
    <row r="33" spans="1:22" ht="15" thickBot="1">
      <c r="A33" s="310"/>
      <c r="B33" s="256" t="s">
        <v>62</v>
      </c>
      <c r="C33" s="311"/>
      <c r="D33" s="311">
        <f ca="1">SUM(D31:D32)</f>
        <v>366</v>
      </c>
      <c r="E33" s="311">
        <f ca="1">SUMIF(E31:E32, "Yes", $D$31:$D$32)</f>
        <v>366</v>
      </c>
      <c r="F33" s="311">
        <f ca="1">SUMIF(F31:F32, "Yes", $D$31:$D$32)</f>
        <v>366</v>
      </c>
      <c r="G33" s="311">
        <f ca="1">SUMIF(G31:G32, "Yes", $D$31:$D$32)</f>
        <v>366</v>
      </c>
      <c r="H33" s="312"/>
      <c r="I33" s="312"/>
      <c r="J33" s="256" t="s">
        <v>62</v>
      </c>
      <c r="K33" s="311"/>
      <c r="L33" s="311" t="e">
        <f ca="1">SUM(L31:L32)</f>
        <v>#REF!</v>
      </c>
      <c r="M33" s="311" t="e">
        <f ca="1">SUMIF(M31:M32, "Yes", $L$31:$L$32)</f>
        <v>#REF!</v>
      </c>
      <c r="N33" s="311">
        <f>SUMIF(N31:N32, "Yes", $L$31:$L$32)</f>
        <v>0</v>
      </c>
      <c r="O33" s="313" t="e">
        <f ca="1">SUMIF(O31:O32, "Yes", $L$31:$L$32)</f>
        <v>#REF!</v>
      </c>
      <c r="Q33" s="317" t="s">
        <v>62</v>
      </c>
      <c r="R33" s="311"/>
      <c r="S33" s="311">
        <f>SUM(S31:S32)</f>
        <v>366</v>
      </c>
      <c r="T33" s="311" t="e">
        <f ca="1">SUMIF(T31:T32, "Yes", $L$31:$L$32)</f>
        <v>#REF!</v>
      </c>
      <c r="U33" s="311" t="e">
        <f ca="1">SUMIF(U31:U32, "Yes", $L$31:$L$32)</f>
        <v>#REF!</v>
      </c>
      <c r="V33" s="313" t="e">
        <f ca="1">SUMIF(V31:V32, "Yes", $L$31:$L$32)</f>
        <v>#REF!</v>
      </c>
    </row>
    <row r="34" spans="1:22" ht="14.4">
      <c r="A34" s="232" t="s">
        <v>63</v>
      </c>
      <c r="B34" s="233"/>
      <c r="C34" s="234"/>
      <c r="D34" s="235" t="b">
        <f ca="1">D33='six months follow-up_in person'!H38</f>
        <v>0</v>
      </c>
      <c r="E34" s="234"/>
      <c r="F34" s="234"/>
      <c r="G34" s="233"/>
      <c r="H34" s="234"/>
      <c r="I34" s="234"/>
      <c r="J34" s="233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194"/>
    </row>
    <row r="35" spans="1:22" ht="14.4">
      <c r="A35" s="237"/>
      <c r="B35" s="238"/>
      <c r="C35" s="239"/>
      <c r="D35" s="181"/>
      <c r="E35" s="239"/>
      <c r="F35" s="239"/>
      <c r="G35" s="238"/>
      <c r="H35" s="239"/>
      <c r="I35" s="239"/>
      <c r="J35" s="238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240"/>
    </row>
    <row r="36" spans="1:22" ht="14.4">
      <c r="A36" s="237"/>
      <c r="B36" s="238"/>
      <c r="C36" s="239"/>
      <c r="D36" s="181"/>
      <c r="E36" s="239"/>
      <c r="F36" s="239"/>
      <c r="G36" s="238"/>
      <c r="H36" s="239"/>
      <c r="I36" s="239"/>
      <c r="J36" s="238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240"/>
    </row>
    <row r="37" spans="1:22" ht="14.4">
      <c r="A37" s="237"/>
      <c r="B37" s="238" t="s">
        <v>64</v>
      </c>
      <c r="C37" s="191"/>
      <c r="D37" s="191"/>
      <c r="E37" s="191"/>
      <c r="F37" s="191"/>
      <c r="G37" s="191"/>
      <c r="H37" s="181"/>
      <c r="I37" s="181"/>
      <c r="J37" s="238" t="s">
        <v>65</v>
      </c>
      <c r="K37" s="181"/>
      <c r="L37" s="181"/>
      <c r="M37" s="181"/>
      <c r="N37" s="181"/>
      <c r="O37" s="181"/>
      <c r="P37" s="181"/>
      <c r="Q37" s="238" t="s">
        <v>66</v>
      </c>
      <c r="R37" s="181"/>
      <c r="S37" s="181"/>
      <c r="T37" s="181"/>
      <c r="U37" s="181"/>
      <c r="V37" s="240"/>
    </row>
    <row r="38" spans="1:22" ht="14.4">
      <c r="A38" s="237"/>
      <c r="B38" s="181"/>
      <c r="C38" s="241" t="s">
        <v>57</v>
      </c>
      <c r="D38" s="241" t="s">
        <v>58</v>
      </c>
      <c r="E38" s="219" t="s">
        <v>59</v>
      </c>
      <c r="F38" s="219" t="s">
        <v>60</v>
      </c>
      <c r="G38" s="210" t="s">
        <v>102</v>
      </c>
      <c r="H38" s="242" t="s">
        <v>101</v>
      </c>
      <c r="I38" s="181"/>
      <c r="J38" s="238" t="s">
        <v>67</v>
      </c>
      <c r="K38" s="219" t="s">
        <v>57</v>
      </c>
      <c r="L38" s="219" t="s">
        <v>58</v>
      </c>
      <c r="M38" s="219" t="s">
        <v>59</v>
      </c>
      <c r="N38" s="219" t="s">
        <v>60</v>
      </c>
      <c r="O38" s="210" t="s">
        <v>102</v>
      </c>
      <c r="P38" s="181"/>
      <c r="Q38" s="238"/>
      <c r="R38" s="219" t="s">
        <v>57</v>
      </c>
      <c r="S38" s="219" t="s">
        <v>58</v>
      </c>
      <c r="T38" s="219" t="s">
        <v>59</v>
      </c>
      <c r="U38" s="219" t="s">
        <v>60</v>
      </c>
      <c r="V38" s="220" t="s">
        <v>102</v>
      </c>
    </row>
    <row r="39" spans="1:22" ht="14.4">
      <c r="A39" s="237"/>
      <c r="B39" s="181">
        <f>'One year follow-up_inperson'!C2</f>
        <v>0</v>
      </c>
      <c r="C39" s="61" t="str">
        <f ca="1">IFERROR(__xludf.DUMMYFUNCTION("ARRAY_CONSTRAIN(ARRAYFORMULA(UNIQUE('One year follow-up'!$C10:$C208)), 19, 1)"),"160")</f>
        <v>160</v>
      </c>
      <c r="D39" s="243" t="e">
        <f ca="1">COUNTIF('One year follow-up_inperson'!#REF!,C39)</f>
        <v>#REF!</v>
      </c>
      <c r="E39" s="244" t="s">
        <v>3</v>
      </c>
      <c r="F39" s="244" t="s">
        <v>31</v>
      </c>
      <c r="G39" s="208" t="s">
        <v>3</v>
      </c>
      <c r="H39" s="245" t="e">
        <f ca="1">D39='One year follow-up_inperson'!G2</f>
        <v>#REF!</v>
      </c>
      <c r="I39" s="181"/>
      <c r="J39" s="181">
        <f>'One year follow-up_inperson'!C2</f>
        <v>0</v>
      </c>
      <c r="K39" s="61" t="str">
        <f ca="1">IFERROR(__xludf.DUMMYFUNCTION("ARRAY_CONSTRAIN(ARRAYFORMULA(UNIQUE('One year follow-up'!$C10:$C1000)), 19, 1)"),"366")</f>
        <v>366</v>
      </c>
      <c r="L39" s="246">
        <f ca="1">COUNTIFS('One year follow-up_inperson'!$B$23:$B$2653,K39,'One year follow-up_inperson'!$R$23:$R$2653,"Yes")</f>
        <v>0</v>
      </c>
      <c r="M39" s="244" t="s">
        <v>3</v>
      </c>
      <c r="N39" s="244" t="s">
        <v>31</v>
      </c>
      <c r="O39" s="208" t="s">
        <v>3</v>
      </c>
      <c r="P39" s="181"/>
      <c r="Q39" s="181">
        <f>'One year follow-up_inperson'!C2</f>
        <v>0</v>
      </c>
      <c r="R39" s="61" t="str">
        <f ca="1">IFERROR(__xludf.DUMMYFUNCTION("ARRAY_CONSTRAIN(ARRAYFORMULA(UNIQUE('One year follow-up'!$C10:$C208)), 19, 1)"),"160")</f>
        <v>160</v>
      </c>
      <c r="S39" s="181" t="e">
        <f ca="1">COUNTIFS('One year follow-up_inperson'!#REF!,R39,'One year follow-up_inperson'!#REF!,"No")</f>
        <v>#REF!</v>
      </c>
      <c r="T39" s="243" t="s">
        <v>3</v>
      </c>
      <c r="U39" s="248" t="s">
        <v>31</v>
      </c>
      <c r="V39" s="249" t="s">
        <v>3</v>
      </c>
    </row>
    <row r="40" spans="1:22" ht="14.4">
      <c r="A40" s="237"/>
      <c r="B40" s="181">
        <f>'One year follow-up_inperson'!C3</f>
        <v>0</v>
      </c>
      <c r="C40" s="243" t="str">
        <f ca="1">IFERROR(__xludf.DUMMYFUNCTION("""COMPUTED_VALUE"""),"156")</f>
        <v>156</v>
      </c>
      <c r="D40" s="243" t="e">
        <f ca="1">COUNTIF('One year follow-up_inperson'!#REF!,C40)</f>
        <v>#REF!</v>
      </c>
      <c r="E40" s="243" t="s">
        <v>3</v>
      </c>
      <c r="F40" s="250" t="s">
        <v>31</v>
      </c>
      <c r="G40" s="208" t="s">
        <v>3</v>
      </c>
      <c r="H40" s="245" t="e">
        <f ca="1">D40='One year follow-up_inperson'!G3</f>
        <v>#REF!</v>
      </c>
      <c r="I40" s="181"/>
      <c r="J40" s="181">
        <f>'One year follow-up_inperson'!C3</f>
        <v>0</v>
      </c>
      <c r="K40" s="61" t="str">
        <f ca="1">IFERROR(__xludf.DUMMYFUNCTION("""COMPUTED_VALUE"""),"156")</f>
        <v>156</v>
      </c>
      <c r="L40" s="246" t="e">
        <f ca="1">COUNTIFS('One year follow-up_inperson'!#REF!,K40,'One year follow-up_inperson'!#REF!,"Yes")</f>
        <v>#REF!</v>
      </c>
      <c r="M40" s="243" t="s">
        <v>3</v>
      </c>
      <c r="N40" s="250" t="s">
        <v>31</v>
      </c>
      <c r="O40" s="208" t="s">
        <v>3</v>
      </c>
      <c r="P40" s="181"/>
      <c r="Q40" s="181">
        <f>'One year follow-up_inperson'!C3</f>
        <v>0</v>
      </c>
      <c r="R40" s="61" t="str">
        <f ca="1">IFERROR(__xludf.DUMMYFUNCTION("""COMPUTED_VALUE"""),"156")</f>
        <v>156</v>
      </c>
      <c r="S40" s="181" t="e">
        <f ca="1">COUNTIFS('One year follow-up_inperson'!#REF!,R40,'One year follow-up_inperson'!#REF!,"No")</f>
        <v>#REF!</v>
      </c>
      <c r="T40" s="250" t="s">
        <v>31</v>
      </c>
      <c r="U40" s="250" t="s">
        <v>31</v>
      </c>
      <c r="V40" s="249" t="s">
        <v>3</v>
      </c>
    </row>
    <row r="41" spans="1:22" ht="14.4">
      <c r="A41" s="237"/>
      <c r="B41" s="181">
        <f>'One year follow-up_inperson'!C4</f>
        <v>0</v>
      </c>
      <c r="C41" s="243" t="str">
        <f ca="1">IFERROR(__xludf.DUMMYFUNCTION("""COMPUTED_VALUE"""),"158")</f>
        <v>158</v>
      </c>
      <c r="D41" s="243" t="e">
        <f ca="1">COUNTIF('One year follow-up_inperson'!#REF!,C41)</f>
        <v>#REF!</v>
      </c>
      <c r="E41" s="243" t="s">
        <v>3</v>
      </c>
      <c r="F41" s="250" t="s">
        <v>31</v>
      </c>
      <c r="G41" s="208" t="s">
        <v>3</v>
      </c>
      <c r="H41" s="245" t="e">
        <f ca="1">D41='One year follow-up_inperson'!G4</f>
        <v>#REF!</v>
      </c>
      <c r="I41" s="181"/>
      <c r="J41" s="181">
        <f>'One year follow-up_inperson'!C4</f>
        <v>0</v>
      </c>
      <c r="K41" s="61" t="str">
        <f ca="1">IFERROR(__xludf.DUMMYFUNCTION("""COMPUTED_VALUE"""),"158")</f>
        <v>158</v>
      </c>
      <c r="L41" s="246" t="e">
        <f ca="1">COUNTIFS('One year follow-up_inperson'!#REF!,K41,'One year follow-up_inperson'!#REF!,"Yes")</f>
        <v>#REF!</v>
      </c>
      <c r="M41" s="243" t="s">
        <v>3</v>
      </c>
      <c r="N41" s="250" t="s">
        <v>31</v>
      </c>
      <c r="O41" s="208" t="s">
        <v>3</v>
      </c>
      <c r="P41" s="181"/>
      <c r="Q41" s="181">
        <f>'One year follow-up_inperson'!C4</f>
        <v>0</v>
      </c>
      <c r="R41" s="61" t="str">
        <f ca="1">IFERROR(__xludf.DUMMYFUNCTION("""COMPUTED_VALUE"""),"158")</f>
        <v>158</v>
      </c>
      <c r="S41" s="181" t="e">
        <f ca="1">COUNTIFS('One year follow-up_inperson'!#REF!,R41,'One year follow-up_inperson'!#REF!,"No")</f>
        <v>#REF!</v>
      </c>
      <c r="T41" s="250" t="s">
        <v>31</v>
      </c>
      <c r="U41" s="248" t="s">
        <v>31</v>
      </c>
      <c r="V41" s="249" t="s">
        <v>3</v>
      </c>
    </row>
    <row r="42" spans="1:22" ht="14.4">
      <c r="A42" s="237"/>
      <c r="B42" s="181">
        <f>'One year follow-up_inperson'!C5</f>
        <v>0</v>
      </c>
      <c r="C42" s="243" t="str">
        <f ca="1">IFERROR(__xludf.DUMMYFUNCTION("""COMPUTED_VALUE"""),"159")</f>
        <v>159</v>
      </c>
      <c r="D42" s="243" t="e">
        <f ca="1">COUNTIF('One year follow-up_inperson'!#REF!,C42)</f>
        <v>#REF!</v>
      </c>
      <c r="E42" s="250" t="s">
        <v>3</v>
      </c>
      <c r="F42" s="250" t="s">
        <v>31</v>
      </c>
      <c r="G42" s="247" t="s">
        <v>3</v>
      </c>
      <c r="H42" s="245" t="e">
        <f ca="1">D42='One year follow-up_inperson'!G5</f>
        <v>#REF!</v>
      </c>
      <c r="I42" s="181"/>
      <c r="J42" s="181">
        <f>'One year follow-up_inperson'!C5</f>
        <v>0</v>
      </c>
      <c r="K42" s="61" t="str">
        <f ca="1">IFERROR(__xludf.DUMMYFUNCTION("""COMPUTED_VALUE"""),"159")</f>
        <v>159</v>
      </c>
      <c r="L42" s="246" t="e">
        <f ca="1">COUNTIFS('One year follow-up_inperson'!#REF!,K42,'One year follow-up_inperson'!#REF!,"Yes")</f>
        <v>#REF!</v>
      </c>
      <c r="M42" s="250" t="s">
        <v>3</v>
      </c>
      <c r="N42" s="250" t="s">
        <v>31</v>
      </c>
      <c r="O42" s="247" t="s">
        <v>3</v>
      </c>
      <c r="P42" s="181"/>
      <c r="Q42" s="181">
        <f>'One year follow-up_inperson'!C5</f>
        <v>0</v>
      </c>
      <c r="R42" s="61" t="str">
        <f ca="1">IFERROR(__xludf.DUMMYFUNCTION("""COMPUTED_VALUE"""),"159")</f>
        <v>159</v>
      </c>
      <c r="S42" s="181" t="e">
        <f ca="1">COUNTIFS('One year follow-up_inperson'!#REF!,R42,'One year follow-up_inperson'!#REF!,"No")</f>
        <v>#REF!</v>
      </c>
      <c r="T42" s="250" t="s">
        <v>31</v>
      </c>
      <c r="U42" s="250" t="s">
        <v>3</v>
      </c>
      <c r="V42" s="249" t="s">
        <v>3</v>
      </c>
    </row>
    <row r="43" spans="1:22" ht="14.4">
      <c r="A43" s="237"/>
      <c r="B43" s="181">
        <f>'One year follow-up_inperson'!C6</f>
        <v>0</v>
      </c>
      <c r="C43" s="243" t="str">
        <f ca="1">IFERROR(__xludf.DUMMYFUNCTION("""COMPUTED_VALUE"""),"157")</f>
        <v>157</v>
      </c>
      <c r="D43" s="243" t="e">
        <f ca="1">COUNTIF('One year follow-up_inperson'!#REF!,C43)</f>
        <v>#REF!</v>
      </c>
      <c r="E43" s="243" t="s">
        <v>3</v>
      </c>
      <c r="F43" s="248" t="s">
        <v>31</v>
      </c>
      <c r="G43" s="247" t="s">
        <v>3</v>
      </c>
      <c r="H43" s="245" t="e">
        <f ca="1">D43='One year follow-up_inperson'!G6</f>
        <v>#REF!</v>
      </c>
      <c r="I43" s="181"/>
      <c r="J43" s="181">
        <f>'One year follow-up_inperson'!C6</f>
        <v>0</v>
      </c>
      <c r="K43" s="61" t="str">
        <f ca="1">IFERROR(__xludf.DUMMYFUNCTION("""COMPUTED_VALUE"""),"157")</f>
        <v>157</v>
      </c>
      <c r="L43" s="246" t="e">
        <f ca="1">COUNTIFS('One year follow-up_inperson'!#REF!,K43,'One year follow-up_inperson'!#REF!,"Yes")</f>
        <v>#REF!</v>
      </c>
      <c r="M43" s="243" t="s">
        <v>3</v>
      </c>
      <c r="N43" s="248" t="s">
        <v>31</v>
      </c>
      <c r="O43" s="247" t="s">
        <v>3</v>
      </c>
      <c r="P43" s="181"/>
      <c r="Q43" s="181">
        <f>'One year follow-up_inperson'!C6</f>
        <v>0</v>
      </c>
      <c r="R43" s="61" t="str">
        <f ca="1">IFERROR(__xludf.DUMMYFUNCTION("""COMPUTED_VALUE"""),"157")</f>
        <v>157</v>
      </c>
      <c r="S43" s="181" t="e">
        <f ca="1">COUNTIFS('One year follow-up_inperson'!#REF!,R43,'One year follow-up_inperson'!#REF!,"No")</f>
        <v>#REF!</v>
      </c>
      <c r="T43" s="250" t="s">
        <v>31</v>
      </c>
      <c r="U43" s="250" t="s">
        <v>3</v>
      </c>
      <c r="V43" s="251" t="s">
        <v>3</v>
      </c>
    </row>
    <row r="44" spans="1:22" ht="14.4">
      <c r="A44" s="237"/>
      <c r="B44" s="181">
        <f>'One year follow-up_inperson'!C7</f>
        <v>0</v>
      </c>
      <c r="C44" s="243" t="str">
        <f ca="1">IFERROR(__xludf.DUMMYFUNCTION("""COMPUTED_VALUE"""),"152")</f>
        <v>152</v>
      </c>
      <c r="D44" s="243" t="e">
        <f ca="1">COUNTIF('One year follow-up_inperson'!#REF!,C44)</f>
        <v>#REF!</v>
      </c>
      <c r="E44" s="243" t="s">
        <v>3</v>
      </c>
      <c r="F44" s="248" t="s">
        <v>31</v>
      </c>
      <c r="G44" s="247" t="s">
        <v>3</v>
      </c>
      <c r="H44" s="245" t="e">
        <f ca="1">D44='One year follow-up_inperson'!G7</f>
        <v>#REF!</v>
      </c>
      <c r="I44" s="181"/>
      <c r="J44" s="181">
        <f>'One year follow-up_inperson'!C7</f>
        <v>0</v>
      </c>
      <c r="K44" s="61" t="str">
        <f ca="1">IFERROR(__xludf.DUMMYFUNCTION("""COMPUTED_VALUE"""),"152")</f>
        <v>152</v>
      </c>
      <c r="L44" s="246" t="e">
        <f ca="1">COUNTIFS('One year follow-up_inperson'!#REF!,K44,'One year follow-up_inperson'!#REF!,"Yes")</f>
        <v>#REF!</v>
      </c>
      <c r="M44" s="243" t="s">
        <v>3</v>
      </c>
      <c r="N44" s="248" t="s">
        <v>31</v>
      </c>
      <c r="O44" s="247" t="s">
        <v>3</v>
      </c>
      <c r="P44" s="181"/>
      <c r="Q44" s="181">
        <f>'One year follow-up_inperson'!C7</f>
        <v>0</v>
      </c>
      <c r="R44" s="61" t="str">
        <f ca="1">IFERROR(__xludf.DUMMYFUNCTION("""COMPUTED_VALUE"""),"152")</f>
        <v>152</v>
      </c>
      <c r="S44" s="181" t="e">
        <f ca="1">COUNTIFS('One year follow-up_inperson'!#REF!,R44,'One year follow-up_inperson'!#REF!,"No")</f>
        <v>#REF!</v>
      </c>
      <c r="T44" s="250" t="s">
        <v>3</v>
      </c>
      <c r="U44" s="250" t="s">
        <v>3</v>
      </c>
      <c r="V44" s="251" t="s">
        <v>3</v>
      </c>
    </row>
    <row r="45" spans="1:22" ht="14.4">
      <c r="A45" s="237"/>
      <c r="B45" s="181">
        <f>'One year follow-up_inperson'!C8</f>
        <v>0</v>
      </c>
      <c r="C45" s="243" t="str">
        <f ca="1">IFERROR(__xludf.DUMMYFUNCTION("""COMPUTED_VALUE"""),"154")</f>
        <v>154</v>
      </c>
      <c r="D45" s="243" t="e">
        <f ca="1">COUNTIF('One year follow-up_inperson'!#REF!,C45)</f>
        <v>#REF!</v>
      </c>
      <c r="E45" s="243" t="s">
        <v>3</v>
      </c>
      <c r="F45" s="248" t="s">
        <v>31</v>
      </c>
      <c r="G45" s="247" t="s">
        <v>3</v>
      </c>
      <c r="H45" s="245" t="e">
        <f ca="1">D45='One year follow-up_inperson'!G8</f>
        <v>#REF!</v>
      </c>
      <c r="I45" s="181"/>
      <c r="J45" s="181">
        <f>'One year follow-up_inperson'!C8</f>
        <v>0</v>
      </c>
      <c r="K45" s="61" t="str">
        <f ca="1">IFERROR(__xludf.DUMMYFUNCTION("""COMPUTED_VALUE"""),"154")</f>
        <v>154</v>
      </c>
      <c r="L45" s="246" t="e">
        <f ca="1">COUNTIFS('One year follow-up_inperson'!#REF!,K45,'One year follow-up_inperson'!#REF!,"Yes")</f>
        <v>#REF!</v>
      </c>
      <c r="M45" s="243" t="s">
        <v>3</v>
      </c>
      <c r="N45" s="248" t="s">
        <v>31</v>
      </c>
      <c r="O45" s="247" t="s">
        <v>3</v>
      </c>
      <c r="P45" s="181"/>
      <c r="Q45" s="181">
        <f>'One year follow-up_inperson'!C8</f>
        <v>0</v>
      </c>
      <c r="R45" s="61" t="str">
        <f ca="1">IFERROR(__xludf.DUMMYFUNCTION("""COMPUTED_VALUE"""),"154")</f>
        <v>154</v>
      </c>
      <c r="S45" s="181" t="e">
        <f ca="1">COUNTIFS('One year follow-up_inperson'!#REF!,R45,'One year follow-up_inperson'!#REF!,"No")</f>
        <v>#REF!</v>
      </c>
      <c r="T45" s="250" t="s">
        <v>3</v>
      </c>
      <c r="U45" s="250" t="s">
        <v>3</v>
      </c>
      <c r="V45" s="251" t="s">
        <v>3</v>
      </c>
    </row>
    <row r="46" spans="1:22" ht="14.4">
      <c r="A46" s="237"/>
      <c r="B46" s="181">
        <f>'One year follow-up_inperson'!C9</f>
        <v>0</v>
      </c>
      <c r="C46" s="243" t="str">
        <f ca="1">IFERROR(__xludf.DUMMYFUNCTION("""COMPUTED_VALUE"""),"162")</f>
        <v>162</v>
      </c>
      <c r="D46" s="243">
        <f ca="1">COUNTIF('One year follow-up_inperson'!$B$23:$B$1499,C46)</f>
        <v>0</v>
      </c>
      <c r="E46" s="243" t="s">
        <v>3</v>
      </c>
      <c r="F46" s="248" t="s">
        <v>5</v>
      </c>
      <c r="G46" s="247" t="s">
        <v>5</v>
      </c>
      <c r="H46" s="245" t="b">
        <f ca="1">D46='One year follow-up_inperson'!G9</f>
        <v>1</v>
      </c>
      <c r="I46" s="181"/>
      <c r="J46" s="181">
        <f>'One year follow-up_inperson'!C9</f>
        <v>0</v>
      </c>
      <c r="K46" s="61" t="str">
        <f ca="1">IFERROR(__xludf.DUMMYFUNCTION("""COMPUTED_VALUE"""),"162")</f>
        <v>162</v>
      </c>
      <c r="L46" s="246" t="e">
        <f ca="1">COUNTIFS('One year follow-up_inperson'!#REF!,K46,'One year follow-up_inperson'!#REF!,"Yes")</f>
        <v>#REF!</v>
      </c>
      <c r="M46" s="243" t="s">
        <v>3</v>
      </c>
      <c r="N46" s="248" t="s">
        <v>5</v>
      </c>
      <c r="O46" s="247" t="s">
        <v>5</v>
      </c>
      <c r="P46" s="181"/>
      <c r="Q46" s="181">
        <f>'One year follow-up_inperson'!C9</f>
        <v>0</v>
      </c>
      <c r="R46" s="61" t="str">
        <f ca="1">IFERROR(__xludf.DUMMYFUNCTION("""COMPUTED_VALUE"""),"162")</f>
        <v>162</v>
      </c>
      <c r="S46" s="181" t="e">
        <f ca="1">COUNTIFS('One year follow-up_inperson'!#REF!,R46,'One year follow-up_inperson'!#REF!,"No")</f>
        <v>#REF!</v>
      </c>
      <c r="T46" s="250" t="s">
        <v>3</v>
      </c>
      <c r="U46" s="250" t="s">
        <v>5</v>
      </c>
      <c r="V46" s="249" t="s">
        <v>5</v>
      </c>
    </row>
    <row r="47" spans="1:22" ht="14.4">
      <c r="A47" s="237"/>
      <c r="B47" s="181">
        <f>'One year follow-up_inperson'!C10</f>
        <v>0</v>
      </c>
      <c r="C47" s="243" t="str">
        <f ca="1">IFERROR(__xludf.DUMMYFUNCTION("""COMPUTED_VALUE"""),"163")</f>
        <v>163</v>
      </c>
      <c r="D47" s="243" t="e">
        <f ca="1">COUNTIF('One year follow-up_inperson'!#REF!,C47)</f>
        <v>#REF!</v>
      </c>
      <c r="E47" s="250" t="s">
        <v>3</v>
      </c>
      <c r="F47" s="250" t="s">
        <v>5</v>
      </c>
      <c r="G47" s="247" t="s">
        <v>5</v>
      </c>
      <c r="H47" s="245" t="e">
        <f ca="1">D47='One year follow-up_inperson'!G10</f>
        <v>#REF!</v>
      </c>
      <c r="I47" s="181"/>
      <c r="J47" s="181">
        <f>'One year follow-up_inperson'!C10</f>
        <v>0</v>
      </c>
      <c r="K47" s="61" t="str">
        <f ca="1">IFERROR(__xludf.DUMMYFUNCTION("""COMPUTED_VALUE"""),"163")</f>
        <v>163</v>
      </c>
      <c r="L47" s="246" t="e">
        <f ca="1">COUNTIFS('One year follow-up_inperson'!#REF!,K47,'One year follow-up_inperson'!#REF!,"Yes")</f>
        <v>#REF!</v>
      </c>
      <c r="M47" s="250" t="s">
        <v>3</v>
      </c>
      <c r="N47" s="250" t="s">
        <v>5</v>
      </c>
      <c r="O47" s="247" t="s">
        <v>5</v>
      </c>
      <c r="P47" s="181"/>
      <c r="Q47" s="181">
        <f>'One year follow-up_inperson'!C10</f>
        <v>0</v>
      </c>
      <c r="R47" s="61" t="str">
        <f ca="1">IFERROR(__xludf.DUMMYFUNCTION("""COMPUTED_VALUE"""),"163")</f>
        <v>163</v>
      </c>
      <c r="S47" s="181" t="e">
        <f ca="1">COUNTIFS('One year follow-up_inperson'!#REF!,R47,'One year follow-up_inperson'!#REF!,"No")</f>
        <v>#REF!</v>
      </c>
      <c r="T47" s="243" t="s">
        <v>3</v>
      </c>
      <c r="U47" s="248" t="s">
        <v>5</v>
      </c>
      <c r="V47" s="249" t="s">
        <v>5</v>
      </c>
    </row>
    <row r="48" spans="1:22" ht="14.4">
      <c r="A48" s="237"/>
      <c r="B48" s="181">
        <f>'One year follow-up_inperson'!C11</f>
        <v>0</v>
      </c>
      <c r="C48" s="243" t="str">
        <f ca="1">IFERROR(__xludf.DUMMYFUNCTION("""COMPUTED_VALUE"""),"164")</f>
        <v>164</v>
      </c>
      <c r="D48" s="243" t="e">
        <f ca="1">COUNTIF('One year follow-up_inperson'!#REF!,C48)</f>
        <v>#REF!</v>
      </c>
      <c r="E48" s="248" t="s">
        <v>3</v>
      </c>
      <c r="F48" s="248" t="s">
        <v>5</v>
      </c>
      <c r="G48" s="247" t="s">
        <v>5</v>
      </c>
      <c r="H48" s="245" t="e">
        <f ca="1">D48='One year follow-up_inperson'!G11</f>
        <v>#REF!</v>
      </c>
      <c r="I48" s="181"/>
      <c r="J48" s="181">
        <f>'One year follow-up_inperson'!C11</f>
        <v>0</v>
      </c>
      <c r="K48" s="61" t="str">
        <f ca="1">IFERROR(__xludf.DUMMYFUNCTION("""COMPUTED_VALUE"""),"164")</f>
        <v>164</v>
      </c>
      <c r="L48" s="246" t="e">
        <f ca="1">COUNTIFS('One year follow-up_inperson'!#REF!,K48,'One year follow-up_inperson'!#REF!,"Yes")</f>
        <v>#REF!</v>
      </c>
      <c r="M48" s="248" t="s">
        <v>3</v>
      </c>
      <c r="N48" s="248" t="s">
        <v>5</v>
      </c>
      <c r="O48" s="247" t="s">
        <v>5</v>
      </c>
      <c r="P48" s="181"/>
      <c r="Q48" s="181">
        <f>'One year follow-up_inperson'!C11</f>
        <v>0</v>
      </c>
      <c r="R48" s="61" t="str">
        <f ca="1">IFERROR(__xludf.DUMMYFUNCTION("""COMPUTED_VALUE"""),"164")</f>
        <v>164</v>
      </c>
      <c r="S48" s="181" t="e">
        <f ca="1">COUNTIFS('One year follow-up_inperson'!#REF!,R48,'One year follow-up_inperson'!#REF!,"No")</f>
        <v>#REF!</v>
      </c>
      <c r="T48" s="250" t="s">
        <v>3</v>
      </c>
      <c r="U48" s="250" t="s">
        <v>5</v>
      </c>
      <c r="V48" s="249" t="s">
        <v>5</v>
      </c>
    </row>
    <row r="49" spans="1:22" ht="14.4">
      <c r="A49" s="237"/>
      <c r="B49" s="181">
        <f>'One year follow-up_inperson'!C12</f>
        <v>0</v>
      </c>
      <c r="C49" s="252" t="str">
        <f ca="1">IFERROR(__xludf.DUMMYFUNCTION("""COMPUTED_VALUE"""),"165")</f>
        <v>165</v>
      </c>
      <c r="D49" s="243" t="e">
        <f ca="1">COUNTIF('One year follow-up_inperson'!#REF!,C49)</f>
        <v>#REF!</v>
      </c>
      <c r="E49" s="403" t="s">
        <v>3</v>
      </c>
      <c r="F49" s="247" t="s">
        <v>5</v>
      </c>
      <c r="G49" s="247" t="s">
        <v>5</v>
      </c>
      <c r="H49" s="245" t="e">
        <f ca="1">D49='One year follow-up_inperson'!G12</f>
        <v>#REF!</v>
      </c>
      <c r="I49" s="181"/>
      <c r="J49" s="181">
        <f>'One year follow-up_inperson'!C12</f>
        <v>0</v>
      </c>
      <c r="K49" s="61" t="str">
        <f ca="1">IFERROR(__xludf.DUMMYFUNCTION("""COMPUTED_VALUE"""),"165")</f>
        <v>165</v>
      </c>
      <c r="L49" s="246" t="e">
        <f ca="1">COUNTIFS('One year follow-up_inperson'!#REF!,K49,'One year follow-up_inperson'!#REF!,"Yes")</f>
        <v>#REF!</v>
      </c>
      <c r="M49" s="403" t="s">
        <v>3</v>
      </c>
      <c r="N49" s="247" t="s">
        <v>5</v>
      </c>
      <c r="O49" s="247" t="s">
        <v>5</v>
      </c>
      <c r="P49" s="181"/>
      <c r="Q49" s="181">
        <f>'One year follow-up_inperson'!C12</f>
        <v>0</v>
      </c>
      <c r="R49" s="61" t="str">
        <f ca="1">IFERROR(__xludf.DUMMYFUNCTION("""COMPUTED_VALUE"""),"165")</f>
        <v>165</v>
      </c>
      <c r="S49" s="181" t="e">
        <f ca="1">COUNTIFS('One year follow-up_inperson'!#REF!,R49,'One year follow-up_inperson'!#REF!,"No")</f>
        <v>#REF!</v>
      </c>
      <c r="T49" s="248" t="s">
        <v>3</v>
      </c>
      <c r="U49" s="248" t="s">
        <v>5</v>
      </c>
      <c r="V49" s="249" t="s">
        <v>5</v>
      </c>
    </row>
    <row r="50" spans="1:22" ht="14.4">
      <c r="A50" s="237"/>
      <c r="B50" s="181" t="e">
        <f>'One year follow-up_inperson'!#REF!</f>
        <v>#REF!</v>
      </c>
      <c r="C50" s="252" t="str">
        <f ca="1">IFERROR(__xludf.DUMMYFUNCTION("""COMPUTED_VALUE"""),"166")</f>
        <v>166</v>
      </c>
      <c r="D50" s="243" t="e">
        <f ca="1">COUNTIF('One year follow-up_inperson'!#REF!,C50)</f>
        <v>#REF!</v>
      </c>
      <c r="E50" s="403" t="s">
        <v>3</v>
      </c>
      <c r="F50" s="247" t="s">
        <v>5</v>
      </c>
      <c r="G50" s="247" t="s">
        <v>5</v>
      </c>
      <c r="H50" s="245" t="e">
        <f ca="1">D50='One year follow-up_inperson'!#REF!</f>
        <v>#REF!</v>
      </c>
      <c r="I50" s="181"/>
      <c r="J50" s="181" t="e">
        <f>'One year follow-up_inperson'!#REF!</f>
        <v>#REF!</v>
      </c>
      <c r="K50" s="61" t="str">
        <f ca="1">IFERROR(__xludf.DUMMYFUNCTION("""COMPUTED_VALUE"""),"166")</f>
        <v>166</v>
      </c>
      <c r="L50" s="246" t="e">
        <f ca="1">COUNTIFS('One year follow-up_inperson'!#REF!,K50,'One year follow-up_inperson'!#REF!,"Yes")</f>
        <v>#REF!</v>
      </c>
      <c r="M50" s="403" t="s">
        <v>3</v>
      </c>
      <c r="N50" s="247" t="s">
        <v>5</v>
      </c>
      <c r="O50" s="247" t="s">
        <v>5</v>
      </c>
      <c r="P50" s="181"/>
      <c r="Q50" s="181" t="e">
        <f>'One year follow-up_inperson'!#REF!</f>
        <v>#REF!</v>
      </c>
      <c r="R50" s="61" t="str">
        <f ca="1">IFERROR(__xludf.DUMMYFUNCTION("""COMPUTED_VALUE"""),"166")</f>
        <v>166</v>
      </c>
      <c r="S50" s="181" t="e">
        <f ca="1">COUNTIFS('One year follow-up_inperson'!#REF!,R50,'One year follow-up_inperson'!#REF!,"No")</f>
        <v>#REF!</v>
      </c>
      <c r="T50" s="403" t="s">
        <v>3</v>
      </c>
      <c r="U50" s="247" t="s">
        <v>5</v>
      </c>
      <c r="V50" s="249" t="s">
        <v>5</v>
      </c>
    </row>
    <row r="51" spans="1:22" ht="14.4">
      <c r="A51" s="237"/>
      <c r="B51" s="181" t="e">
        <f>'One year follow-up_inperson'!#REF!</f>
        <v>#REF!</v>
      </c>
      <c r="C51" s="252" t="str">
        <f ca="1">IFERROR(__xludf.DUMMYFUNCTION("""COMPUTED_VALUE"""),"167")</f>
        <v>167</v>
      </c>
      <c r="D51" s="243" t="e">
        <f ca="1">COUNTIF('One year follow-up_inperson'!#REF!,C51)</f>
        <v>#REF!</v>
      </c>
      <c r="E51" s="403" t="s">
        <v>3</v>
      </c>
      <c r="F51" s="247" t="s">
        <v>5</v>
      </c>
      <c r="G51" s="247" t="s">
        <v>5</v>
      </c>
      <c r="H51" s="245" t="e">
        <f ca="1">D51='One year follow-up_inperson'!#REF!</f>
        <v>#REF!</v>
      </c>
      <c r="I51" s="181"/>
      <c r="J51" s="181" t="e">
        <f>'One year follow-up_inperson'!#REF!</f>
        <v>#REF!</v>
      </c>
      <c r="K51" s="61" t="str">
        <f ca="1">IFERROR(__xludf.DUMMYFUNCTION("""COMPUTED_VALUE"""),"167")</f>
        <v>167</v>
      </c>
      <c r="L51" s="246" t="e">
        <f ca="1">COUNTIFS('One year follow-up_inperson'!#REF!,K51,'One year follow-up_inperson'!#REF!,"Yes")</f>
        <v>#REF!</v>
      </c>
      <c r="M51" s="403" t="s">
        <v>3</v>
      </c>
      <c r="N51" s="247" t="s">
        <v>5</v>
      </c>
      <c r="O51" s="247" t="s">
        <v>5</v>
      </c>
      <c r="P51" s="181"/>
      <c r="Q51" s="181" t="e">
        <f>'One year follow-up_inperson'!#REF!</f>
        <v>#REF!</v>
      </c>
      <c r="R51" s="61" t="str">
        <f ca="1">IFERROR(__xludf.DUMMYFUNCTION("""COMPUTED_VALUE"""),"167")</f>
        <v>167</v>
      </c>
      <c r="S51" s="181" t="e">
        <f ca="1">COUNTIFS('One year follow-up_inperson'!#REF!,R51,'One year follow-up_inperson'!#REF!,"No")</f>
        <v>#REF!</v>
      </c>
      <c r="T51" s="403" t="s">
        <v>3</v>
      </c>
      <c r="U51" s="247" t="s">
        <v>5</v>
      </c>
      <c r="V51" s="249" t="s">
        <v>5</v>
      </c>
    </row>
    <row r="52" spans="1:22" ht="14.4">
      <c r="A52" s="237"/>
      <c r="B52" s="181" t="e">
        <f>'One year follow-up_inperson'!#REF!</f>
        <v>#REF!</v>
      </c>
      <c r="C52" s="252" t="str">
        <f ca="1">IFERROR(__xludf.DUMMYFUNCTION("""COMPUTED_VALUE"""),"168")</f>
        <v>168</v>
      </c>
      <c r="D52" s="243" t="e">
        <f ca="1">COUNTIF('One year follow-up_inperson'!#REF!,C52)</f>
        <v>#REF!</v>
      </c>
      <c r="E52" s="403" t="s">
        <v>3</v>
      </c>
      <c r="F52" s="247" t="s">
        <v>5</v>
      </c>
      <c r="G52" s="247" t="s">
        <v>5</v>
      </c>
      <c r="H52" s="245" t="e">
        <f ca="1">D52='One year follow-up_inperson'!#REF!</f>
        <v>#REF!</v>
      </c>
      <c r="I52" s="181"/>
      <c r="J52" s="181" t="e">
        <f>'One year follow-up_inperson'!#REF!</f>
        <v>#REF!</v>
      </c>
      <c r="K52" s="61" t="str">
        <f ca="1">IFERROR(__xludf.DUMMYFUNCTION("""COMPUTED_VALUE"""),"168")</f>
        <v>168</v>
      </c>
      <c r="L52" s="246" t="e">
        <f ca="1">COUNTIFS('One year follow-up_inperson'!#REF!,K52,'One year follow-up_inperson'!#REF!,"Yes")</f>
        <v>#REF!</v>
      </c>
      <c r="M52" s="403" t="s">
        <v>3</v>
      </c>
      <c r="N52" s="247" t="s">
        <v>5</v>
      </c>
      <c r="O52" s="247" t="s">
        <v>5</v>
      </c>
      <c r="P52" s="181"/>
      <c r="Q52" s="181" t="e">
        <f>'One year follow-up_inperson'!#REF!</f>
        <v>#REF!</v>
      </c>
      <c r="R52" s="61" t="str">
        <f ca="1">IFERROR(__xludf.DUMMYFUNCTION("""COMPUTED_VALUE"""),"168")</f>
        <v>168</v>
      </c>
      <c r="S52" s="181" t="e">
        <f ca="1">COUNTIFS('One year follow-up_inperson'!#REF!,R52,'One year follow-up_inperson'!#REF!,"No")</f>
        <v>#REF!</v>
      </c>
      <c r="T52" s="403" t="s">
        <v>3</v>
      </c>
      <c r="U52" s="247" t="s">
        <v>5</v>
      </c>
      <c r="V52" s="249" t="s">
        <v>5</v>
      </c>
    </row>
    <row r="53" spans="1:22" ht="14.4">
      <c r="A53" s="237"/>
      <c r="B53" s="181" t="e">
        <f>'One year follow-up_inperson'!#REF!</f>
        <v>#REF!</v>
      </c>
      <c r="C53" s="243" t="str">
        <f ca="1">IFERROR(__xludf.DUMMYFUNCTION("""COMPUTED_VALUE"""),"186")</f>
        <v>186</v>
      </c>
      <c r="D53" s="243" t="e">
        <f ca="1">COUNTIF('One year follow-up_inperson'!#REF!,C53)</f>
        <v>#REF!</v>
      </c>
      <c r="E53" s="403" t="s">
        <v>3</v>
      </c>
      <c r="F53" s="247" t="s">
        <v>31</v>
      </c>
      <c r="G53" s="247" t="s">
        <v>3</v>
      </c>
      <c r="H53" s="245" t="e">
        <f ca="1">D53='One year follow-up_inperson'!#REF!</f>
        <v>#REF!</v>
      </c>
      <c r="I53" s="181"/>
      <c r="J53" s="181" t="e">
        <f>'One year follow-up_inperson'!#REF!</f>
        <v>#REF!</v>
      </c>
      <c r="K53" s="61" t="str">
        <f ca="1">IFERROR(__xludf.DUMMYFUNCTION("""COMPUTED_VALUE"""),"186")</f>
        <v>186</v>
      </c>
      <c r="L53" s="246" t="e">
        <f ca="1">COUNTIFS('One year follow-up_inperson'!#REF!,K53,'One year follow-up_inperson'!#REF!,"Yes")</f>
        <v>#REF!</v>
      </c>
      <c r="M53" s="403" t="s">
        <v>3</v>
      </c>
      <c r="N53" s="247" t="s">
        <v>31</v>
      </c>
      <c r="O53" s="247" t="s">
        <v>3</v>
      </c>
      <c r="P53" s="181"/>
      <c r="Q53" s="181" t="e">
        <f>'One year follow-up_inperson'!#REF!</f>
        <v>#REF!</v>
      </c>
      <c r="R53" s="61" t="str">
        <f ca="1">IFERROR(__xludf.DUMMYFUNCTION("""COMPUTED_VALUE"""),"186")</f>
        <v>186</v>
      </c>
      <c r="S53" s="181" t="e">
        <f ca="1">COUNTIFS('One year follow-up_inperson'!#REF!,R53,'One year follow-up_inperson'!#REF!,"No")</f>
        <v>#REF!</v>
      </c>
      <c r="T53" s="403" t="s">
        <v>3</v>
      </c>
      <c r="U53" s="247" t="s">
        <v>5</v>
      </c>
      <c r="V53" s="249" t="s">
        <v>3</v>
      </c>
    </row>
    <row r="54" spans="1:22" ht="14.4">
      <c r="A54" s="237"/>
      <c r="B54" s="181" t="e">
        <f>'One year follow-up_inperson'!#REF!</f>
        <v>#REF!</v>
      </c>
      <c r="C54" s="243" t="str">
        <f ca="1">IFERROR(__xludf.DUMMYFUNCTION("""COMPUTED_VALUE"""),"189")</f>
        <v>189</v>
      </c>
      <c r="D54" s="243" t="e">
        <f ca="1">COUNTIF('One year follow-up_inperson'!#REF!,C54)</f>
        <v>#REF!</v>
      </c>
      <c r="E54" s="403" t="s">
        <v>3</v>
      </c>
      <c r="F54" s="247" t="s">
        <v>31</v>
      </c>
      <c r="G54" s="247" t="s">
        <v>3</v>
      </c>
      <c r="H54" s="245" t="e">
        <f ca="1">D54='One year follow-up_inperson'!#REF!</f>
        <v>#REF!</v>
      </c>
      <c r="I54" s="181"/>
      <c r="J54" s="181" t="e">
        <f>'One year follow-up_inperson'!#REF!</f>
        <v>#REF!</v>
      </c>
      <c r="K54" s="61" t="str">
        <f ca="1">IFERROR(__xludf.DUMMYFUNCTION("""COMPUTED_VALUE"""),"189")</f>
        <v>189</v>
      </c>
      <c r="L54" s="246" t="e">
        <f ca="1">COUNTIFS('One year follow-up_inperson'!#REF!,K54,'One year follow-up_inperson'!#REF!,"Yes")</f>
        <v>#REF!</v>
      </c>
      <c r="M54" s="403" t="s">
        <v>3</v>
      </c>
      <c r="N54" s="247" t="s">
        <v>31</v>
      </c>
      <c r="O54" s="247" t="s">
        <v>3</v>
      </c>
      <c r="P54" s="181"/>
      <c r="Q54" s="181" t="e">
        <f>'One year follow-up_inperson'!#REF!</f>
        <v>#REF!</v>
      </c>
      <c r="R54" s="61" t="str">
        <f ca="1">IFERROR(__xludf.DUMMYFUNCTION("""COMPUTED_VALUE"""),"189")</f>
        <v>189</v>
      </c>
      <c r="S54" s="181" t="e">
        <f ca="1">COUNTIFS('One year follow-up_inperson'!#REF!,R54,'One year follow-up_inperson'!#REF!,"No")</f>
        <v>#REF!</v>
      </c>
      <c r="T54" s="403" t="s">
        <v>3</v>
      </c>
      <c r="U54" s="247" t="s">
        <v>31</v>
      </c>
      <c r="V54" s="249" t="s">
        <v>3</v>
      </c>
    </row>
    <row r="55" spans="1:22" ht="14.4">
      <c r="A55" s="237"/>
      <c r="B55" s="181" t="e">
        <f>'One year follow-up_inperson'!#REF!</f>
        <v>#REF!</v>
      </c>
      <c r="C55" s="243" t="str">
        <f ca="1">IFERROR(__xludf.DUMMYFUNCTION("""COMPUTED_VALUE"""),"174")</f>
        <v>174</v>
      </c>
      <c r="D55" s="243">
        <f ca="1">COUNTIF('One year follow-up_inperson'!$B$23:$B$1499,C55)</f>
        <v>0</v>
      </c>
      <c r="E55" s="403" t="s">
        <v>3</v>
      </c>
      <c r="F55" s="247" t="s">
        <v>31</v>
      </c>
      <c r="G55" s="247" t="s">
        <v>3</v>
      </c>
      <c r="H55" s="245" t="e">
        <f ca="1">D55='One year follow-up_inperson'!#REF!</f>
        <v>#REF!</v>
      </c>
      <c r="I55" s="191"/>
      <c r="J55" s="181" t="e">
        <f>'One year follow-up_inperson'!#REF!</f>
        <v>#REF!</v>
      </c>
      <c r="K55" s="61" t="str">
        <f ca="1">IFERROR(__xludf.DUMMYFUNCTION("""COMPUTED_VALUE"""),"174")</f>
        <v>174</v>
      </c>
      <c r="L55" s="246" t="e">
        <f ca="1">COUNTIFS('One year follow-up_inperson'!#REF!,K55,'One year follow-up_inperson'!#REF!,"Yes")</f>
        <v>#REF!</v>
      </c>
      <c r="M55" s="403" t="s">
        <v>3</v>
      </c>
      <c r="N55" s="247" t="s">
        <v>31</v>
      </c>
      <c r="O55" s="247" t="s">
        <v>3</v>
      </c>
      <c r="P55" s="181"/>
      <c r="Q55" s="181" t="e">
        <f>'One year follow-up_inperson'!#REF!</f>
        <v>#REF!</v>
      </c>
      <c r="R55" s="61" t="str">
        <f ca="1">IFERROR(__xludf.DUMMYFUNCTION("""COMPUTED_VALUE"""),"174")</f>
        <v>174</v>
      </c>
      <c r="S55" s="181" t="e">
        <f ca="1">COUNTIFS('One year follow-up_inperson'!#REF!,R55,'One year follow-up_inperson'!#REF!,"No")</f>
        <v>#REF!</v>
      </c>
      <c r="T55" s="403" t="s">
        <v>3</v>
      </c>
      <c r="U55" s="247" t="s">
        <v>31</v>
      </c>
      <c r="V55" s="249" t="s">
        <v>3</v>
      </c>
    </row>
    <row r="56" spans="1:22" ht="14.4">
      <c r="A56" s="237"/>
      <c r="B56" s="181" t="e">
        <f>'One year follow-up_inperson'!#REF!</f>
        <v>#REF!</v>
      </c>
      <c r="C56" s="243" t="str">
        <f ca="1">IFERROR(__xludf.DUMMYFUNCTION("""COMPUTED_VALUE"""),"179")</f>
        <v>179</v>
      </c>
      <c r="D56" s="243">
        <f ca="1">COUNTIF('One year follow-up_inperson'!$B$23:$B$1499,C56)</f>
        <v>0</v>
      </c>
      <c r="E56" s="403" t="s">
        <v>3</v>
      </c>
      <c r="F56" s="247" t="s">
        <v>31</v>
      </c>
      <c r="G56" s="247" t="s">
        <v>3</v>
      </c>
      <c r="H56" s="245" t="e">
        <f ca="1">D56='One year follow-up_inperson'!#REF!</f>
        <v>#REF!</v>
      </c>
      <c r="I56" s="191"/>
      <c r="J56" s="181" t="e">
        <f>'One year follow-up_inperson'!#REF!</f>
        <v>#REF!</v>
      </c>
      <c r="K56" s="61" t="str">
        <f ca="1">IFERROR(__xludf.DUMMYFUNCTION("""COMPUTED_VALUE"""),"179")</f>
        <v>179</v>
      </c>
      <c r="L56" s="246">
        <f ca="1">COUNTIFS('One year follow-up_inperson'!$B$23:$B$2159,K56,'One year follow-up_inperson'!$R$23:$R$2159,"Yes")</f>
        <v>0</v>
      </c>
      <c r="M56" s="403" t="s">
        <v>3</v>
      </c>
      <c r="N56" s="247" t="s">
        <v>31</v>
      </c>
      <c r="O56" s="247" t="s">
        <v>3</v>
      </c>
      <c r="P56" s="181"/>
      <c r="Q56" s="181" t="e">
        <f>'One year follow-up_inperson'!#REF!</f>
        <v>#REF!</v>
      </c>
      <c r="R56" s="61" t="str">
        <f ca="1">IFERROR(__xludf.DUMMYFUNCTION("""COMPUTED_VALUE"""),"179")</f>
        <v>179</v>
      </c>
      <c r="S56" s="181" t="e">
        <f ca="1">COUNTIFS('One year follow-up_inperson'!#REF!,R56,'One year follow-up_inperson'!#REF!,"No")</f>
        <v>#REF!</v>
      </c>
      <c r="T56" s="403" t="s">
        <v>3</v>
      </c>
      <c r="U56" s="247" t="s">
        <v>31</v>
      </c>
      <c r="V56" s="249" t="s">
        <v>3</v>
      </c>
    </row>
    <row r="57" spans="1:22" ht="14.4">
      <c r="A57" s="237"/>
      <c r="B57" s="181" t="e">
        <f>'One year follow-up_inperson'!#REF!</f>
        <v>#REF!</v>
      </c>
      <c r="C57" s="243" t="str">
        <f ca="1">IFERROR(__xludf.DUMMYFUNCTION("""COMPUTED_VALUE"""),"181")</f>
        <v>181</v>
      </c>
      <c r="D57" s="243" t="e">
        <f ca="1">COUNTIF('One year follow-up_inperson'!#REF!,C57)</f>
        <v>#REF!</v>
      </c>
      <c r="E57" s="403" t="s">
        <v>3</v>
      </c>
      <c r="F57" s="247" t="s">
        <v>31</v>
      </c>
      <c r="G57" s="247" t="s">
        <v>3</v>
      </c>
      <c r="H57" s="245" t="e">
        <f ca="1">D57='One year follow-up_inperson'!#REF!</f>
        <v>#REF!</v>
      </c>
      <c r="I57" s="191"/>
      <c r="J57" s="181" t="e">
        <f>'One year follow-up_inperson'!#REF!</f>
        <v>#REF!</v>
      </c>
      <c r="K57" s="61" t="str">
        <f ca="1">IFERROR(__xludf.DUMMYFUNCTION("""COMPUTED_VALUE"""),"181")</f>
        <v>181</v>
      </c>
      <c r="L57" s="246">
        <f ca="1">COUNTIFS('One year follow-up_inperson'!$B$23:$B$2159,K57,'One year follow-up_inperson'!$R$23:$R$2159,"Yes")</f>
        <v>0</v>
      </c>
      <c r="M57" s="403" t="s">
        <v>3</v>
      </c>
      <c r="N57" s="247" t="s">
        <v>31</v>
      </c>
      <c r="O57" s="247" t="s">
        <v>3</v>
      </c>
      <c r="P57" s="181"/>
      <c r="Q57" s="181" t="e">
        <f>'One year follow-up_inperson'!#REF!</f>
        <v>#REF!</v>
      </c>
      <c r="R57" s="61" t="str">
        <f ca="1">IFERROR(__xludf.DUMMYFUNCTION("""COMPUTED_VALUE"""),"181")</f>
        <v>181</v>
      </c>
      <c r="S57" s="181" t="e">
        <f ca="1">COUNTIFS('One year follow-up_inperson'!#REF!,R57,'One year follow-up_inperson'!#REF!,"No")</f>
        <v>#REF!</v>
      </c>
      <c r="T57" s="403" t="s">
        <v>3</v>
      </c>
      <c r="U57" s="247" t="s">
        <v>31</v>
      </c>
      <c r="V57" s="249" t="s">
        <v>3</v>
      </c>
    </row>
    <row r="58" spans="1:22" ht="14.4">
      <c r="A58" s="237"/>
      <c r="B58" s="181" t="e">
        <f>'One year follow-up_inperson'!#REF!</f>
        <v>#REF!</v>
      </c>
      <c r="C58" s="243" t="str">
        <f ca="1">IFERROR(__xludf.DUMMYFUNCTION("""COMPUTED_VALUE"""),"185")</f>
        <v>185</v>
      </c>
      <c r="D58" s="243">
        <f ca="1">COUNTIF('One year follow-up_inperson'!$B$23:$B$1499,C58)</f>
        <v>0</v>
      </c>
      <c r="E58" s="403" t="s">
        <v>3</v>
      </c>
      <c r="F58" s="247" t="s">
        <v>31</v>
      </c>
      <c r="G58" s="247" t="s">
        <v>3</v>
      </c>
      <c r="H58" s="245" t="e">
        <f ca="1">D58='One year follow-up_inperson'!#REF!</f>
        <v>#REF!</v>
      </c>
      <c r="I58" s="191"/>
      <c r="J58" s="181" t="e">
        <f>'One year follow-up_inperson'!#REF!</f>
        <v>#REF!</v>
      </c>
      <c r="K58" s="61" t="str">
        <f ca="1">IFERROR(__xludf.DUMMYFUNCTION("""COMPUTED_VALUE"""),"185")</f>
        <v>185</v>
      </c>
      <c r="L58" s="246">
        <f ca="1">COUNTIFS('One year follow-up_inperson'!$B$23:$B$2159,K58,'One year follow-up_inperson'!$R$23:$R$2159,"Yes")</f>
        <v>0</v>
      </c>
      <c r="M58" s="403" t="s">
        <v>3</v>
      </c>
      <c r="N58" s="247" t="s">
        <v>31</v>
      </c>
      <c r="O58" s="247" t="s">
        <v>3</v>
      </c>
      <c r="P58" s="181"/>
      <c r="Q58" s="181" t="e">
        <f>'One year follow-up_inperson'!#REF!</f>
        <v>#REF!</v>
      </c>
      <c r="R58" s="61" t="str">
        <f ca="1">IFERROR(__xludf.DUMMYFUNCTION("""COMPUTED_VALUE"""),"185")</f>
        <v>185</v>
      </c>
      <c r="S58" s="181" t="e">
        <f ca="1">COUNTIFS('One year follow-up_inperson'!#REF!,R58,'One year follow-up_inperson'!#REF!,"No")</f>
        <v>#REF!</v>
      </c>
      <c r="T58" s="403" t="s">
        <v>3</v>
      </c>
      <c r="U58" s="247" t="s">
        <v>31</v>
      </c>
      <c r="V58" s="249" t="s">
        <v>3</v>
      </c>
    </row>
    <row r="59" spans="1:22" ht="14.4">
      <c r="A59" s="237"/>
      <c r="B59" s="181" t="e">
        <f>'One year follow-up_inperson'!#REF!</f>
        <v>#REF!</v>
      </c>
      <c r="C59" s="243" t="str">
        <f ca="1">IFERROR(__xludf.DUMMYFUNCTION("""COMPUTED_VALUE"""),"191")</f>
        <v>191</v>
      </c>
      <c r="D59" s="243">
        <f ca="1">COUNTIF('One year follow-up_inperson'!$B$23:$B$1499,C59)</f>
        <v>0</v>
      </c>
      <c r="E59" s="403" t="s">
        <v>3</v>
      </c>
      <c r="F59" s="247" t="s">
        <v>31</v>
      </c>
      <c r="G59" s="247" t="s">
        <v>3</v>
      </c>
      <c r="H59" s="245" t="e">
        <f ca="1">D59='One year follow-up_inperson'!#REF!</f>
        <v>#REF!</v>
      </c>
      <c r="I59" s="191"/>
      <c r="J59" s="181" t="e">
        <f>'One year follow-up_inperson'!#REF!</f>
        <v>#REF!</v>
      </c>
      <c r="K59" s="61" t="str">
        <f ca="1">IFERROR(__xludf.DUMMYFUNCTION("""COMPUTED_VALUE"""),"191")</f>
        <v>191</v>
      </c>
      <c r="L59" s="246">
        <f ca="1">COUNTIFS('One year follow-up_inperson'!$B$23:$B$2159,K59,'One year follow-up_inperson'!$R$23:$R$2159,"Yes")</f>
        <v>0</v>
      </c>
      <c r="M59" s="403" t="s">
        <v>3</v>
      </c>
      <c r="N59" s="247" t="s">
        <v>31</v>
      </c>
      <c r="O59" s="247" t="s">
        <v>3</v>
      </c>
      <c r="P59" s="181"/>
      <c r="Q59" s="181" t="e">
        <f>'One year follow-up_inperson'!#REF!</f>
        <v>#REF!</v>
      </c>
      <c r="R59" s="61" t="str">
        <f ca="1">IFERROR(__xludf.DUMMYFUNCTION("""COMPUTED_VALUE"""),"191")</f>
        <v>191</v>
      </c>
      <c r="S59" s="181" t="e">
        <f ca="1">COUNTIFS('One year follow-up_inperson'!#REF!,R59,'One year follow-up_inperson'!#REF!,"No")</f>
        <v>#REF!</v>
      </c>
      <c r="T59" s="403" t="s">
        <v>3</v>
      </c>
      <c r="U59" s="247" t="s">
        <v>31</v>
      </c>
      <c r="V59" s="249" t="s">
        <v>3</v>
      </c>
    </row>
    <row r="60" spans="1:22" ht="14.4">
      <c r="A60" s="237"/>
      <c r="B60" s="181" t="e">
        <f>'One year follow-up_inperson'!#REF!</f>
        <v>#REF!</v>
      </c>
      <c r="C60" s="243" t="str">
        <f ca="1">IFERROR(__xludf.DUMMYFUNCTION("""COMPUTED_VALUE"""),"193")</f>
        <v>193</v>
      </c>
      <c r="D60" s="243">
        <f ca="1">COUNTIF('One year follow-up_inperson'!$B$23:$B$1499,C60)</f>
        <v>0</v>
      </c>
      <c r="E60" s="247" t="s">
        <v>31</v>
      </c>
      <c r="F60" s="247" t="s">
        <v>5</v>
      </c>
      <c r="G60" s="247" t="s">
        <v>3</v>
      </c>
      <c r="H60" s="245" t="e">
        <f ca="1">D60='One year follow-up_inperson'!#REF!</f>
        <v>#REF!</v>
      </c>
      <c r="I60" s="191"/>
      <c r="J60" s="181" t="e">
        <f>'One year follow-up_inperson'!#REF!</f>
        <v>#REF!</v>
      </c>
      <c r="K60" s="61" t="str">
        <f ca="1">IFERROR(__xludf.DUMMYFUNCTION("""COMPUTED_VALUE"""),"193")</f>
        <v>193</v>
      </c>
      <c r="L60" s="246">
        <f ca="1">COUNTIFS('One year follow-up_inperson'!$B$23:$B$2159,K60,'One year follow-up_inperson'!$R$23:$R$2159,"Yes")</f>
        <v>0</v>
      </c>
      <c r="M60" s="247" t="s">
        <v>31</v>
      </c>
      <c r="N60" s="247" t="s">
        <v>5</v>
      </c>
      <c r="O60" s="247" t="s">
        <v>3</v>
      </c>
      <c r="P60" s="181"/>
      <c r="Q60" s="181" t="e">
        <f>'One year follow-up_inperson'!#REF!</f>
        <v>#REF!</v>
      </c>
      <c r="R60" s="61" t="str">
        <f ca="1">IFERROR(__xludf.DUMMYFUNCTION("""COMPUTED_VALUE"""),"186")</f>
        <v>186</v>
      </c>
      <c r="S60" s="181" t="e">
        <f ca="1">COUNTIFS('One year follow-up_inperson'!#REF!,R60,'One year follow-up_inperson'!#REF!,"No")</f>
        <v>#REF!</v>
      </c>
      <c r="T60" s="403" t="s">
        <v>3</v>
      </c>
      <c r="U60" s="247" t="s">
        <v>5</v>
      </c>
      <c r="V60" s="249" t="s">
        <v>3</v>
      </c>
    </row>
    <row r="61" spans="1:22" ht="14.4">
      <c r="A61" s="237"/>
      <c r="B61" s="181" t="e">
        <f>'One year follow-up_inperson'!#REF!</f>
        <v>#REF!</v>
      </c>
      <c r="C61" s="243" t="str">
        <f ca="1">IFERROR(__xludf.DUMMYFUNCTION("""COMPUTED_VALUE"""),"153")</f>
        <v>153</v>
      </c>
      <c r="D61" s="243">
        <f ca="1">COUNTIF('One year follow-up_inperson'!$B$23:$B$1499,C61)</f>
        <v>0</v>
      </c>
      <c r="E61" s="247" t="s">
        <v>3</v>
      </c>
      <c r="F61" s="247" t="s">
        <v>31</v>
      </c>
      <c r="G61" s="247" t="s">
        <v>3</v>
      </c>
      <c r="H61" s="245" t="e">
        <f ca="1">D61='One year follow-up_inperson'!#REF!</f>
        <v>#REF!</v>
      </c>
      <c r="I61" s="191"/>
      <c r="J61" s="181" t="e">
        <f>'One year follow-up_inperson'!#REF!</f>
        <v>#REF!</v>
      </c>
      <c r="K61" s="61" t="str">
        <f ca="1">IFERROR(__xludf.DUMMYFUNCTION("""COMPUTED_VALUE"""),"153")</f>
        <v>153</v>
      </c>
      <c r="L61" s="246">
        <f ca="1">COUNTIFS('One year follow-up_inperson'!$B$23:$B$2159,K61,'One year follow-up_inperson'!$R$23:$R$2159,"Yes")</f>
        <v>0</v>
      </c>
      <c r="M61" s="247" t="s">
        <v>3</v>
      </c>
      <c r="N61" s="247" t="s">
        <v>31</v>
      </c>
      <c r="O61" s="247" t="s">
        <v>3</v>
      </c>
      <c r="P61" s="181"/>
      <c r="Q61" s="181" t="e">
        <f>'One year follow-up_inperson'!#REF!</f>
        <v>#REF!</v>
      </c>
      <c r="R61" s="61" t="str">
        <f ca="1">IFERROR(__xludf.DUMMYFUNCTION("""COMPUTED_VALUE"""),"186")</f>
        <v>186</v>
      </c>
      <c r="S61" s="181" t="e">
        <f ca="1">COUNTIFS('One year follow-up_inperson'!#REF!,R61,'One year follow-up_inperson'!#REF!,"No")</f>
        <v>#REF!</v>
      </c>
      <c r="T61" s="247" t="s">
        <v>31</v>
      </c>
      <c r="U61" s="247" t="s">
        <v>31</v>
      </c>
      <c r="V61" s="249" t="s">
        <v>3</v>
      </c>
    </row>
    <row r="62" spans="1:22" ht="14.4">
      <c r="A62" s="237"/>
      <c r="B62" s="181"/>
      <c r="C62" s="243"/>
      <c r="D62" s="243"/>
      <c r="E62" s="247"/>
      <c r="F62" s="247"/>
      <c r="G62" s="247"/>
      <c r="H62" s="245"/>
      <c r="I62" s="191"/>
      <c r="J62" s="181"/>
      <c r="K62" s="61"/>
      <c r="L62" s="253"/>
      <c r="M62" s="247"/>
      <c r="N62" s="247"/>
      <c r="O62" s="247"/>
      <c r="P62" s="181"/>
      <c r="Q62" s="181"/>
      <c r="R62" s="61"/>
      <c r="S62" s="181"/>
      <c r="T62" s="247"/>
      <c r="U62" s="247"/>
      <c r="V62" s="249"/>
    </row>
    <row r="63" spans="1:22" ht="14.4">
      <c r="A63" s="237"/>
      <c r="B63" s="181"/>
      <c r="C63" s="243"/>
      <c r="D63" s="243"/>
      <c r="E63" s="247"/>
      <c r="F63" s="247"/>
      <c r="G63" s="247"/>
      <c r="H63" s="245"/>
      <c r="I63" s="191"/>
      <c r="J63" s="181"/>
      <c r="K63" s="61"/>
      <c r="L63" s="253"/>
      <c r="M63" s="247"/>
      <c r="N63" s="247"/>
      <c r="O63" s="247"/>
      <c r="P63" s="181"/>
      <c r="Q63" s="181"/>
      <c r="R63" s="61"/>
      <c r="S63" s="181"/>
      <c r="T63" s="247"/>
      <c r="U63" s="247"/>
      <c r="V63" s="249"/>
    </row>
    <row r="64" spans="1:22" ht="14.4">
      <c r="A64" s="237"/>
      <c r="B64" s="181"/>
      <c r="C64" s="243"/>
      <c r="D64" s="248"/>
      <c r="E64" s="247"/>
      <c r="F64" s="247"/>
      <c r="G64" s="247"/>
      <c r="H64" s="254"/>
      <c r="I64" s="191"/>
      <c r="J64" s="181"/>
      <c r="K64" s="61"/>
      <c r="L64" s="253"/>
      <c r="M64" s="247"/>
      <c r="N64" s="247"/>
      <c r="O64" s="247"/>
      <c r="P64" s="181"/>
      <c r="Q64" s="181"/>
      <c r="R64" s="61"/>
      <c r="S64" s="181"/>
      <c r="T64" s="247"/>
      <c r="U64" s="247"/>
      <c r="V64" s="249"/>
    </row>
    <row r="65" spans="1:22" ht="15" thickBot="1">
      <c r="A65" s="237"/>
      <c r="B65" s="181"/>
      <c r="C65" s="243"/>
      <c r="D65" s="248"/>
      <c r="E65" s="247"/>
      <c r="F65" s="247"/>
      <c r="G65" s="247"/>
      <c r="H65" s="254"/>
      <c r="I65" s="191"/>
      <c r="J65" s="181"/>
      <c r="K65" s="61"/>
      <c r="L65" s="253"/>
      <c r="M65" s="247"/>
      <c r="N65" s="247"/>
      <c r="O65" s="247"/>
      <c r="P65" s="181"/>
      <c r="Q65" s="181"/>
      <c r="R65" s="61"/>
      <c r="S65" s="181"/>
      <c r="T65" s="247"/>
      <c r="U65" s="247"/>
      <c r="V65" s="249"/>
    </row>
    <row r="66" spans="1:22" ht="15" thickBot="1">
      <c r="A66" s="255"/>
      <c r="B66" s="256" t="s">
        <v>62</v>
      </c>
      <c r="C66" s="257"/>
      <c r="D66" s="311" t="e">
        <f ca="1">SUM(D39:D61)</f>
        <v>#REF!</v>
      </c>
      <c r="E66" s="259" t="e">
        <f ca="1">SUMIF(E39:E61, "Yes", $D$39:$D$61)</f>
        <v>#REF!</v>
      </c>
      <c r="F66" s="259" t="e">
        <f ca="1">SUMIF(F39:F64, "Yes", $D$39:$D$64)</f>
        <v>#REF!</v>
      </c>
      <c r="G66" s="259" t="e">
        <f t="shared" ref="G66" ca="1" si="9">SUMIF(G39:G56, "Yes", $D$39:$D$56)</f>
        <v>#REF!</v>
      </c>
      <c r="H66" s="260"/>
      <c r="I66" s="260"/>
      <c r="J66" s="256" t="s">
        <v>62</v>
      </c>
      <c r="K66" s="257"/>
      <c r="L66" s="258" t="e">
        <f ca="1">SUM(L39:L61)</f>
        <v>#REF!</v>
      </c>
      <c r="M66" s="259" t="e">
        <f ca="1">SUMIF(M39:M61, "Yes", $L$39:$L$61)</f>
        <v>#REF!</v>
      </c>
      <c r="N66" s="259" t="e">
        <f ca="1">SUMIF(N39:N61, "Yes", $L$39:$L$61)</f>
        <v>#REF!</v>
      </c>
      <c r="O66" s="259" t="e">
        <f ca="1">SUMIF(O39:O61, "Yes", $L$39:$L$61)</f>
        <v>#REF!</v>
      </c>
      <c r="P66" s="260"/>
      <c r="Q66" s="256" t="s">
        <v>62</v>
      </c>
      <c r="R66" s="257"/>
      <c r="S66" s="258" t="e">
        <f ca="1">SUM(S39:S56)</f>
        <v>#REF!</v>
      </c>
      <c r="T66" s="259" t="e">
        <f t="shared" ref="T66:V66" ca="1" si="10">SUMIF(T39:T56, "Yes", $L$39:$L$56)</f>
        <v>#REF!</v>
      </c>
      <c r="U66" s="259" t="e">
        <f t="shared" ca="1" si="10"/>
        <v>#REF!</v>
      </c>
      <c r="V66" s="261" t="e">
        <f t="shared" ca="1" si="10"/>
        <v>#REF!</v>
      </c>
    </row>
    <row r="67" spans="1:22" ht="14.4">
      <c r="D67" s="188" t="e">
        <f ca="1">D66='One year follow-up_inperson'!H19</f>
        <v>#REF!</v>
      </c>
      <c r="J67" s="2"/>
      <c r="K67" s="2"/>
      <c r="L67" s="54"/>
      <c r="M67" s="55"/>
      <c r="N67" s="55"/>
    </row>
    <row r="68" spans="1:22" ht="14.4">
      <c r="G68" s="49"/>
      <c r="H68" s="49"/>
      <c r="I68" s="49"/>
      <c r="J68" s="6"/>
      <c r="K68" s="6"/>
      <c r="L68" s="6"/>
    </row>
    <row r="69" spans="1:22" ht="14.4">
      <c r="J69" s="6"/>
      <c r="K69" s="6"/>
      <c r="L69" s="6"/>
    </row>
    <row r="70" spans="1:22" ht="14.4">
      <c r="J70" s="6"/>
      <c r="K70" s="6"/>
      <c r="L70" s="6"/>
    </row>
    <row r="71" spans="1:22" ht="14.4">
      <c r="J71" s="6"/>
      <c r="K71" s="6"/>
      <c r="L71" s="6"/>
    </row>
    <row r="72" spans="1:22" ht="14.4">
      <c r="J72" s="6"/>
      <c r="K72" s="6"/>
      <c r="L72" s="6"/>
    </row>
    <row r="73" spans="1:22" ht="14.4">
      <c r="J73" s="6"/>
      <c r="K73" s="6"/>
      <c r="L73" s="6"/>
    </row>
    <row r="74" spans="1:22" ht="14.4">
      <c r="J74" s="6"/>
      <c r="K74" s="6"/>
      <c r="L74" s="6"/>
    </row>
    <row r="75" spans="1:22" ht="14.4">
      <c r="J75" s="6"/>
      <c r="K75" s="6"/>
      <c r="L75" s="6"/>
    </row>
    <row r="76" spans="1:22" ht="14.4">
      <c r="J76" s="6"/>
      <c r="K76" s="6"/>
      <c r="L76" s="6"/>
    </row>
    <row r="77" spans="1:22" ht="14.4">
      <c r="J77" s="6"/>
      <c r="K77" s="6"/>
      <c r="L77" s="6"/>
    </row>
    <row r="78" spans="1:22" ht="14.4">
      <c r="J78" s="6"/>
      <c r="K78" s="6"/>
      <c r="L78" s="6"/>
    </row>
    <row r="79" spans="1:22" ht="14.4">
      <c r="J79" s="6"/>
      <c r="K79" s="6"/>
      <c r="L79" s="6"/>
    </row>
    <row r="80" spans="1:22" ht="14.4">
      <c r="J80" s="6"/>
      <c r="K80" s="6"/>
      <c r="L80" s="6"/>
    </row>
    <row r="81" spans="10:12" ht="14.4">
      <c r="J81" s="6"/>
      <c r="K81" s="6"/>
      <c r="L81" s="6"/>
    </row>
    <row r="82" spans="10:12" ht="14.4">
      <c r="J82" s="6"/>
      <c r="K82" s="6"/>
      <c r="L82" s="6"/>
    </row>
    <row r="83" spans="10:12" ht="14.4">
      <c r="J83" s="6"/>
      <c r="K83" s="6"/>
      <c r="L83" s="6"/>
    </row>
    <row r="84" spans="10:12" ht="14.4">
      <c r="J84" s="6"/>
      <c r="K84" s="6"/>
      <c r="L84" s="6"/>
    </row>
    <row r="85" spans="10:12" ht="14.4">
      <c r="J85" s="6"/>
      <c r="K85" s="6"/>
      <c r="L85" s="6"/>
    </row>
    <row r="86" spans="10:12" ht="14.4">
      <c r="J86" s="6"/>
      <c r="K86" s="6"/>
      <c r="L86" s="6"/>
    </row>
    <row r="87" spans="10:12" ht="14.4">
      <c r="J87" s="6"/>
      <c r="K87" s="6"/>
      <c r="L87" s="6"/>
    </row>
    <row r="88" spans="10:12" ht="14.4">
      <c r="J88" s="6"/>
      <c r="K88" s="6"/>
      <c r="L88" s="6"/>
    </row>
    <row r="89" spans="10:12" ht="14.4">
      <c r="J89" s="6"/>
      <c r="K89" s="6"/>
      <c r="L89" s="6"/>
    </row>
    <row r="90" spans="10:12" ht="14.4">
      <c r="J90" s="6"/>
      <c r="K90" s="6"/>
      <c r="L90" s="6"/>
    </row>
    <row r="91" spans="10:12" ht="14.4">
      <c r="J91" s="6"/>
      <c r="K91" s="6"/>
      <c r="L91" s="6"/>
    </row>
    <row r="92" spans="10:12" ht="14.4">
      <c r="J92" s="6"/>
      <c r="K92" s="6"/>
      <c r="L92" s="6"/>
    </row>
    <row r="93" spans="10:12" ht="14.4">
      <c r="J93" s="6"/>
      <c r="K93" s="6"/>
      <c r="L93" s="6"/>
    </row>
    <row r="94" spans="10:12" ht="14.4">
      <c r="J94" s="6"/>
      <c r="K94" s="6"/>
      <c r="L94" s="6"/>
    </row>
    <row r="95" spans="10:12" ht="14.4">
      <c r="J95" s="6"/>
      <c r="K95" s="6"/>
      <c r="L95" s="6"/>
    </row>
    <row r="96" spans="10:12" ht="14.4">
      <c r="J96" s="6"/>
      <c r="K96" s="6"/>
      <c r="L96" s="6"/>
    </row>
    <row r="97" spans="10:12" ht="14.4">
      <c r="J97" s="6"/>
      <c r="K97" s="6"/>
      <c r="L97" s="6"/>
    </row>
    <row r="98" spans="10:12" ht="14.4">
      <c r="J98" s="6"/>
      <c r="K98" s="6"/>
      <c r="L98" s="6"/>
    </row>
    <row r="99" spans="10:12" ht="14.4">
      <c r="J99" s="6"/>
      <c r="K99" s="6"/>
      <c r="L99" s="6"/>
    </row>
    <row r="100" spans="10:12" ht="14.4">
      <c r="J100" s="6"/>
      <c r="K100" s="6"/>
      <c r="L100" s="6"/>
    </row>
    <row r="101" spans="10:12" ht="14.4">
      <c r="J101" s="6"/>
      <c r="K101" s="6"/>
      <c r="L101" s="6"/>
    </row>
    <row r="102" spans="10:12" ht="14.4">
      <c r="J102" s="6"/>
      <c r="K102" s="6"/>
      <c r="L102" s="6"/>
    </row>
    <row r="103" spans="10:12" ht="14.4">
      <c r="J103" s="6"/>
      <c r="K103" s="6"/>
      <c r="L103" s="6"/>
    </row>
    <row r="104" spans="10:12" ht="14.4">
      <c r="J104" s="6"/>
      <c r="K104" s="6"/>
      <c r="L104" s="6"/>
    </row>
    <row r="105" spans="10:12" ht="14.4">
      <c r="J105" s="6"/>
      <c r="K105" s="6"/>
      <c r="L105" s="6"/>
    </row>
    <row r="106" spans="10:12" ht="14.4">
      <c r="J106" s="6"/>
      <c r="K106" s="6"/>
      <c r="L106" s="6"/>
    </row>
    <row r="107" spans="10:12" ht="14.4">
      <c r="J107" s="6"/>
      <c r="K107" s="6"/>
      <c r="L107" s="6"/>
    </row>
    <row r="108" spans="10:12" ht="14.4">
      <c r="J108" s="6"/>
      <c r="K108" s="6"/>
      <c r="L108" s="6"/>
    </row>
    <row r="109" spans="10:12" ht="14.4">
      <c r="J109" s="6"/>
      <c r="K109" s="6"/>
      <c r="L109" s="6"/>
    </row>
    <row r="110" spans="10:12" ht="14.4">
      <c r="J110" s="6"/>
      <c r="K110" s="6"/>
      <c r="L110" s="6"/>
    </row>
    <row r="111" spans="10:12" ht="14.4">
      <c r="J111" s="6"/>
      <c r="K111" s="6"/>
      <c r="L111" s="6"/>
    </row>
    <row r="112" spans="10:12" ht="14.4">
      <c r="J112" s="6"/>
      <c r="K112" s="6"/>
      <c r="L112" s="6"/>
    </row>
    <row r="113" spans="10:12" ht="14.4">
      <c r="J113" s="6"/>
      <c r="K113" s="6"/>
      <c r="L113" s="6"/>
    </row>
    <row r="114" spans="10:12" ht="14.4">
      <c r="J114" s="6"/>
      <c r="K114" s="6"/>
      <c r="L114" s="6"/>
    </row>
    <row r="115" spans="10:12" ht="14.4">
      <c r="J115" s="6"/>
      <c r="K115" s="6"/>
      <c r="L115" s="6"/>
    </row>
    <row r="116" spans="10:12" ht="14.4">
      <c r="J116" s="6"/>
      <c r="K116" s="6"/>
      <c r="L116" s="6"/>
    </row>
    <row r="117" spans="10:12" ht="14.4">
      <c r="J117" s="6"/>
      <c r="K117" s="6"/>
      <c r="L117" s="6"/>
    </row>
    <row r="118" spans="10:12" ht="14.4">
      <c r="J118" s="6"/>
      <c r="K118" s="6"/>
      <c r="L118" s="6"/>
    </row>
    <row r="119" spans="10:12" ht="14.4">
      <c r="J119" s="6"/>
      <c r="K119" s="6"/>
      <c r="L119" s="6"/>
    </row>
    <row r="120" spans="10:12" ht="14.4">
      <c r="J120" s="6"/>
      <c r="K120" s="6"/>
      <c r="L120" s="6"/>
    </row>
    <row r="121" spans="10:12" ht="14.4">
      <c r="J121" s="6"/>
      <c r="K121" s="6"/>
      <c r="L121" s="6"/>
    </row>
    <row r="122" spans="10:12" ht="14.4">
      <c r="J122" s="6"/>
      <c r="K122" s="6"/>
      <c r="L122" s="6"/>
    </row>
    <row r="123" spans="10:12" ht="14.4">
      <c r="J123" s="6"/>
      <c r="K123" s="6"/>
      <c r="L123" s="6"/>
    </row>
    <row r="124" spans="10:12" ht="14.4">
      <c r="J124" s="6"/>
      <c r="K124" s="6"/>
      <c r="L124" s="6"/>
    </row>
    <row r="125" spans="10:12" ht="14.4">
      <c r="J125" s="6"/>
      <c r="K125" s="6"/>
      <c r="L125" s="6"/>
    </row>
    <row r="126" spans="10:12" ht="14.4">
      <c r="J126" s="6"/>
      <c r="K126" s="6"/>
      <c r="L126" s="6"/>
    </row>
    <row r="127" spans="10:12" ht="14.4">
      <c r="J127" s="6"/>
      <c r="K127" s="6"/>
      <c r="L127" s="6"/>
    </row>
    <row r="128" spans="10:12" ht="14.4">
      <c r="J128" s="6"/>
      <c r="K128" s="6"/>
      <c r="L128" s="6"/>
    </row>
    <row r="129" spans="10:12" ht="14.4">
      <c r="J129" s="6"/>
      <c r="K129" s="6"/>
      <c r="L129" s="6"/>
    </row>
    <row r="130" spans="10:12" ht="14.4">
      <c r="J130" s="6"/>
      <c r="K130" s="6"/>
      <c r="L130" s="6"/>
    </row>
    <row r="131" spans="10:12" ht="14.4">
      <c r="J131" s="6"/>
      <c r="K131" s="6"/>
      <c r="L131" s="6"/>
    </row>
    <row r="132" spans="10:12" ht="14.4">
      <c r="J132" s="6"/>
      <c r="K132" s="6"/>
      <c r="L132" s="6"/>
    </row>
    <row r="133" spans="10:12" ht="14.4">
      <c r="J133" s="6"/>
      <c r="K133" s="6"/>
      <c r="L133" s="6"/>
    </row>
    <row r="134" spans="10:12" ht="14.4">
      <c r="J134" s="6"/>
      <c r="K134" s="6"/>
      <c r="L134" s="6"/>
    </row>
    <row r="135" spans="10:12" ht="14.4">
      <c r="J135" s="6"/>
      <c r="K135" s="6"/>
      <c r="L135" s="6"/>
    </row>
    <row r="136" spans="10:12" ht="14.4">
      <c r="J136" s="6"/>
      <c r="K136" s="6"/>
      <c r="L136" s="6"/>
    </row>
    <row r="137" spans="10:12" ht="14.4">
      <c r="J137" s="6"/>
      <c r="K137" s="6"/>
      <c r="L137" s="6"/>
    </row>
    <row r="138" spans="10:12" ht="14.4">
      <c r="J138" s="6"/>
      <c r="K138" s="6"/>
      <c r="L138" s="6"/>
    </row>
    <row r="139" spans="10:12" ht="14.4">
      <c r="J139" s="6"/>
      <c r="K139" s="6"/>
      <c r="L139" s="6"/>
    </row>
    <row r="140" spans="10:12" ht="14.4">
      <c r="J140" s="6"/>
      <c r="K140" s="6"/>
      <c r="L140" s="6"/>
    </row>
    <row r="141" spans="10:12" ht="14.4">
      <c r="J141" s="6"/>
      <c r="K141" s="6"/>
      <c r="L141" s="6"/>
    </row>
    <row r="142" spans="10:12" ht="14.4">
      <c r="J142" s="6"/>
      <c r="K142" s="6"/>
      <c r="L142" s="6"/>
    </row>
    <row r="143" spans="10:12" ht="14.4">
      <c r="J143" s="6"/>
      <c r="K143" s="6"/>
      <c r="L143" s="6"/>
    </row>
    <row r="144" spans="10:12" ht="14.4">
      <c r="J144" s="6"/>
      <c r="K144" s="6"/>
      <c r="L144" s="6"/>
    </row>
    <row r="145" spans="10:12" ht="14.4">
      <c r="J145" s="6"/>
      <c r="K145" s="6"/>
      <c r="L145" s="6"/>
    </row>
    <row r="146" spans="10:12" ht="14.4">
      <c r="J146" s="6"/>
      <c r="K146" s="6"/>
      <c r="L146" s="6"/>
    </row>
    <row r="147" spans="10:12" ht="14.4">
      <c r="J147" s="6"/>
      <c r="K147" s="6"/>
      <c r="L147" s="6"/>
    </row>
    <row r="148" spans="10:12" ht="14.4">
      <c r="J148" s="6"/>
      <c r="K148" s="6"/>
      <c r="L148" s="6"/>
    </row>
    <row r="149" spans="10:12" ht="14.4">
      <c r="J149" s="6"/>
      <c r="K149" s="6"/>
      <c r="L149" s="6"/>
    </row>
    <row r="150" spans="10:12" ht="14.4">
      <c r="J150" s="6"/>
      <c r="K150" s="6"/>
      <c r="L150" s="6"/>
    </row>
    <row r="151" spans="10:12" ht="14.4">
      <c r="J151" s="6"/>
      <c r="K151" s="6"/>
      <c r="L151" s="6"/>
    </row>
    <row r="152" spans="10:12" ht="14.4">
      <c r="J152" s="6"/>
      <c r="K152" s="6"/>
      <c r="L152" s="6"/>
    </row>
    <row r="153" spans="10:12" ht="14.4">
      <c r="J153" s="6"/>
      <c r="K153" s="6"/>
      <c r="L153" s="6"/>
    </row>
    <row r="154" spans="10:12" ht="14.4">
      <c r="J154" s="6"/>
      <c r="K154" s="6"/>
      <c r="L154" s="6"/>
    </row>
    <row r="155" spans="10:12" ht="14.4">
      <c r="J155" s="6"/>
      <c r="K155" s="6"/>
      <c r="L155" s="6"/>
    </row>
    <row r="156" spans="10:12" ht="14.4">
      <c r="J156" s="6"/>
      <c r="K156" s="6"/>
      <c r="L156" s="6"/>
    </row>
    <row r="157" spans="10:12" ht="14.4">
      <c r="J157" s="6"/>
      <c r="K157" s="6"/>
      <c r="L157" s="6"/>
    </row>
    <row r="158" spans="10:12" ht="14.4">
      <c r="J158" s="6"/>
      <c r="K158" s="6"/>
      <c r="L158" s="6"/>
    </row>
    <row r="159" spans="10:12" ht="14.4">
      <c r="J159" s="6"/>
      <c r="K159" s="6"/>
      <c r="L159" s="6"/>
    </row>
    <row r="160" spans="10:12" ht="14.4">
      <c r="J160" s="6"/>
      <c r="K160" s="6"/>
      <c r="L160" s="6"/>
    </row>
    <row r="161" spans="10:12" ht="14.4">
      <c r="J161" s="6"/>
      <c r="K161" s="6"/>
      <c r="L161" s="6"/>
    </row>
    <row r="162" spans="10:12" ht="14.4">
      <c r="J162" s="6"/>
      <c r="K162" s="6"/>
      <c r="L162" s="6"/>
    </row>
    <row r="163" spans="10:12" ht="14.4">
      <c r="J163" s="6"/>
      <c r="K163" s="6"/>
      <c r="L163" s="6"/>
    </row>
    <row r="164" spans="10:12" ht="14.4">
      <c r="J164" s="6"/>
      <c r="K164" s="6"/>
      <c r="L164" s="6"/>
    </row>
    <row r="165" spans="10:12" ht="14.4">
      <c r="J165" s="6"/>
      <c r="K165" s="6"/>
      <c r="L165" s="6"/>
    </row>
    <row r="166" spans="10:12" ht="14.4">
      <c r="J166" s="6"/>
      <c r="K166" s="6"/>
      <c r="L166" s="6"/>
    </row>
    <row r="167" spans="10:12" ht="14.4">
      <c r="J167" s="6"/>
      <c r="K167" s="6"/>
      <c r="L167" s="6"/>
    </row>
    <row r="168" spans="10:12" ht="14.4">
      <c r="J168" s="6"/>
      <c r="K168" s="6"/>
      <c r="L168" s="6"/>
    </row>
    <row r="169" spans="10:12" ht="14.4">
      <c r="J169" s="6"/>
      <c r="K169" s="6"/>
      <c r="L169" s="6"/>
    </row>
    <row r="170" spans="10:12" ht="14.4">
      <c r="J170" s="6"/>
      <c r="K170" s="6"/>
      <c r="L170" s="6"/>
    </row>
    <row r="171" spans="10:12" ht="14.4">
      <c r="J171" s="6"/>
      <c r="K171" s="6"/>
      <c r="L171" s="6"/>
    </row>
    <row r="172" spans="10:12" ht="14.4">
      <c r="J172" s="6"/>
      <c r="K172" s="6"/>
      <c r="L172" s="6"/>
    </row>
    <row r="173" spans="10:12" ht="14.4">
      <c r="J173" s="6"/>
      <c r="K173" s="6"/>
      <c r="L173" s="6"/>
    </row>
    <row r="174" spans="10:12" ht="14.4">
      <c r="J174" s="6"/>
      <c r="K174" s="6"/>
      <c r="L174" s="6"/>
    </row>
    <row r="175" spans="10:12" ht="14.4">
      <c r="J175" s="6"/>
      <c r="K175" s="6"/>
      <c r="L175" s="6"/>
    </row>
    <row r="176" spans="10:12" ht="14.4">
      <c r="J176" s="6"/>
      <c r="K176" s="6"/>
      <c r="L176" s="6"/>
    </row>
    <row r="177" spans="10:12" ht="14.4">
      <c r="J177" s="6"/>
      <c r="K177" s="6"/>
      <c r="L177" s="6"/>
    </row>
    <row r="178" spans="10:12" ht="14.4">
      <c r="J178" s="6"/>
      <c r="K178" s="6"/>
      <c r="L178" s="6"/>
    </row>
    <row r="179" spans="10:12" ht="14.4">
      <c r="J179" s="6"/>
      <c r="K179" s="6"/>
      <c r="L179" s="6"/>
    </row>
    <row r="180" spans="10:12" ht="14.4">
      <c r="J180" s="6"/>
      <c r="K180" s="6"/>
      <c r="L180" s="6"/>
    </row>
    <row r="181" spans="10:12" ht="14.4">
      <c r="J181" s="6"/>
      <c r="K181" s="6"/>
      <c r="L181" s="6"/>
    </row>
    <row r="182" spans="10:12" ht="14.4">
      <c r="J182" s="6"/>
      <c r="K182" s="6"/>
      <c r="L182" s="6"/>
    </row>
    <row r="183" spans="10:12" ht="14.4">
      <c r="J183" s="6"/>
      <c r="K183" s="6"/>
      <c r="L183" s="6"/>
    </row>
    <row r="184" spans="10:12" ht="14.4">
      <c r="J184" s="6"/>
      <c r="K184" s="6"/>
      <c r="L184" s="6"/>
    </row>
    <row r="185" spans="10:12" ht="14.4">
      <c r="J185" s="6"/>
      <c r="K185" s="6"/>
      <c r="L185" s="6"/>
    </row>
    <row r="186" spans="10:12" ht="14.4">
      <c r="J186" s="6"/>
      <c r="K186" s="6"/>
      <c r="L186" s="6"/>
    </row>
    <row r="187" spans="10:12" ht="14.4">
      <c r="J187" s="6"/>
      <c r="K187" s="6"/>
      <c r="L187" s="6"/>
    </row>
    <row r="188" spans="10:12" ht="14.4">
      <c r="J188" s="6"/>
      <c r="K188" s="6"/>
      <c r="L188" s="6"/>
    </row>
    <row r="189" spans="10:12" ht="14.4">
      <c r="J189" s="6"/>
      <c r="K189" s="6"/>
      <c r="L189" s="6"/>
    </row>
    <row r="190" spans="10:12" ht="14.4">
      <c r="J190" s="6"/>
      <c r="K190" s="6"/>
      <c r="L190" s="6"/>
    </row>
    <row r="191" spans="10:12" ht="14.4">
      <c r="J191" s="6"/>
      <c r="K191" s="6"/>
      <c r="L191" s="6"/>
    </row>
    <row r="192" spans="10:12" ht="14.4">
      <c r="J192" s="6"/>
      <c r="K192" s="6"/>
      <c r="L192" s="6"/>
    </row>
    <row r="193" spans="10:12" ht="14.4">
      <c r="J193" s="6"/>
      <c r="K193" s="6"/>
      <c r="L193" s="6"/>
    </row>
    <row r="194" spans="10:12" ht="14.4">
      <c r="J194" s="6"/>
      <c r="K194" s="6"/>
      <c r="L194" s="6"/>
    </row>
    <row r="195" spans="10:12" ht="14.4">
      <c r="J195" s="6"/>
      <c r="K195" s="6"/>
      <c r="L195" s="6"/>
    </row>
    <row r="196" spans="10:12" ht="14.4">
      <c r="J196" s="6"/>
      <c r="K196" s="6"/>
      <c r="L196" s="6"/>
    </row>
    <row r="197" spans="10:12" ht="14.4">
      <c r="J197" s="6"/>
      <c r="K197" s="6"/>
      <c r="L197" s="6"/>
    </row>
    <row r="198" spans="10:12" ht="14.4">
      <c r="J198" s="6"/>
      <c r="K198" s="6"/>
      <c r="L198" s="6"/>
    </row>
    <row r="199" spans="10:12" ht="14.4">
      <c r="J199" s="6"/>
      <c r="K199" s="6"/>
      <c r="L199" s="6"/>
    </row>
    <row r="200" spans="10:12" ht="14.4">
      <c r="J200" s="6"/>
      <c r="K200" s="6"/>
      <c r="L200" s="6"/>
    </row>
    <row r="201" spans="10:12" ht="14.4">
      <c r="J201" s="6"/>
      <c r="K201" s="6"/>
      <c r="L201" s="6"/>
    </row>
    <row r="202" spans="10:12" ht="14.4">
      <c r="J202" s="6"/>
      <c r="K202" s="6"/>
      <c r="L202" s="6"/>
    </row>
    <row r="203" spans="10:12" ht="14.4">
      <c r="J203" s="6"/>
      <c r="K203" s="6"/>
      <c r="L203" s="6"/>
    </row>
    <row r="204" spans="10:12" ht="14.4">
      <c r="J204" s="6"/>
      <c r="K204" s="6"/>
      <c r="L204" s="6"/>
    </row>
    <row r="205" spans="10:12" ht="14.4">
      <c r="J205" s="6"/>
      <c r="K205" s="6"/>
      <c r="L205" s="6"/>
    </row>
    <row r="206" spans="10:12" ht="14.4">
      <c r="J206" s="6"/>
      <c r="K206" s="6"/>
      <c r="L206" s="6"/>
    </row>
    <row r="207" spans="10:12" ht="14.4">
      <c r="J207" s="6"/>
      <c r="K207" s="6"/>
      <c r="L207" s="6"/>
    </row>
    <row r="208" spans="10:12" ht="14.4">
      <c r="J208" s="6"/>
      <c r="K208" s="6"/>
      <c r="L208" s="6"/>
    </row>
    <row r="209" spans="10:12" ht="14.4">
      <c r="J209" s="6"/>
      <c r="K209" s="6"/>
      <c r="L209" s="6"/>
    </row>
    <row r="210" spans="10:12" ht="14.4">
      <c r="J210" s="6"/>
      <c r="K210" s="6"/>
      <c r="L210" s="6"/>
    </row>
    <row r="211" spans="10:12" ht="14.4">
      <c r="J211" s="6"/>
      <c r="K211" s="6"/>
      <c r="L211" s="6"/>
    </row>
    <row r="212" spans="10:12" ht="14.4">
      <c r="J212" s="6"/>
      <c r="K212" s="6"/>
      <c r="L212" s="6"/>
    </row>
    <row r="213" spans="10:12" ht="14.4">
      <c r="J213" s="6"/>
      <c r="K213" s="6"/>
      <c r="L213" s="6"/>
    </row>
    <row r="214" spans="10:12" ht="14.4">
      <c r="J214" s="6"/>
      <c r="K214" s="6"/>
      <c r="L214" s="6"/>
    </row>
    <row r="215" spans="10:12" ht="14.4">
      <c r="J215" s="6"/>
      <c r="K215" s="6"/>
      <c r="L215" s="6"/>
    </row>
    <row r="216" spans="10:12" ht="14.4">
      <c r="J216" s="6"/>
      <c r="K216" s="6"/>
      <c r="L216" s="6"/>
    </row>
    <row r="217" spans="10:12" ht="14.4">
      <c r="J217" s="6"/>
      <c r="K217" s="6"/>
      <c r="L217" s="6"/>
    </row>
    <row r="218" spans="10:12" ht="14.4">
      <c r="J218" s="6"/>
      <c r="K218" s="6"/>
      <c r="L218" s="6"/>
    </row>
    <row r="219" spans="10:12" ht="14.4">
      <c r="J219" s="6"/>
      <c r="K219" s="6"/>
      <c r="L219" s="6"/>
    </row>
    <row r="220" spans="10:12" ht="14.4">
      <c r="J220" s="6"/>
      <c r="K220" s="6"/>
      <c r="L220" s="6"/>
    </row>
    <row r="221" spans="10:12" ht="14.4">
      <c r="J221" s="6"/>
      <c r="K221" s="6"/>
      <c r="L221" s="6"/>
    </row>
    <row r="222" spans="10:12" ht="14.4">
      <c r="J222" s="6"/>
      <c r="K222" s="6"/>
      <c r="L222" s="6"/>
    </row>
    <row r="223" spans="10:12" ht="14.4">
      <c r="J223" s="6"/>
      <c r="K223" s="6"/>
      <c r="L223" s="6"/>
    </row>
    <row r="224" spans="10:12" ht="14.4">
      <c r="J224" s="6"/>
      <c r="K224" s="6"/>
      <c r="L224" s="6"/>
    </row>
    <row r="225" spans="10:12" ht="14.4">
      <c r="J225" s="6"/>
      <c r="K225" s="6"/>
      <c r="L225" s="6"/>
    </row>
    <row r="226" spans="10:12" ht="14.4">
      <c r="J226" s="6"/>
      <c r="K226" s="6"/>
      <c r="L226" s="6"/>
    </row>
    <row r="227" spans="10:12" ht="14.4">
      <c r="J227" s="6"/>
      <c r="K227" s="6"/>
      <c r="L227" s="6"/>
    </row>
    <row r="228" spans="10:12" ht="14.4">
      <c r="J228" s="6"/>
      <c r="K228" s="6"/>
      <c r="L228" s="6"/>
    </row>
    <row r="229" spans="10:12" ht="14.4">
      <c r="J229" s="6"/>
      <c r="K229" s="6"/>
      <c r="L229" s="6"/>
    </row>
    <row r="230" spans="10:12" ht="14.4">
      <c r="J230" s="6"/>
      <c r="K230" s="6"/>
      <c r="L230" s="6"/>
    </row>
    <row r="231" spans="10:12" ht="14.4">
      <c r="J231" s="6"/>
      <c r="K231" s="6"/>
      <c r="L231" s="6"/>
    </row>
    <row r="232" spans="10:12" ht="14.4">
      <c r="J232" s="6"/>
      <c r="K232" s="6"/>
      <c r="L232" s="6"/>
    </row>
    <row r="233" spans="10:12" ht="14.4">
      <c r="J233" s="6"/>
      <c r="K233" s="6"/>
      <c r="L233" s="6"/>
    </row>
    <row r="234" spans="10:12" ht="14.4">
      <c r="J234" s="6"/>
      <c r="K234" s="6"/>
      <c r="L234" s="6"/>
    </row>
    <row r="235" spans="10:12" ht="14.4">
      <c r="J235" s="6"/>
      <c r="K235" s="6"/>
      <c r="L235" s="6"/>
    </row>
    <row r="236" spans="10:12" ht="14.4">
      <c r="J236" s="6"/>
      <c r="K236" s="6"/>
      <c r="L236" s="6"/>
    </row>
    <row r="237" spans="10:12" ht="14.4">
      <c r="J237" s="6"/>
      <c r="K237" s="6"/>
      <c r="L237" s="6"/>
    </row>
    <row r="238" spans="10:12" ht="14.4">
      <c r="J238" s="6"/>
      <c r="K238" s="6"/>
      <c r="L238" s="6"/>
    </row>
    <row r="239" spans="10:12" ht="14.4">
      <c r="J239" s="6"/>
      <c r="K239" s="6"/>
      <c r="L239" s="6"/>
    </row>
    <row r="240" spans="10:12" ht="14.4">
      <c r="J240" s="6"/>
      <c r="K240" s="6"/>
      <c r="L240" s="6"/>
    </row>
    <row r="241" spans="10:12" ht="14.4">
      <c r="J241" s="6"/>
      <c r="K241" s="6"/>
      <c r="L241" s="6"/>
    </row>
    <row r="242" spans="10:12" ht="14.4">
      <c r="J242" s="6"/>
      <c r="K242" s="6"/>
      <c r="L242" s="6"/>
    </row>
    <row r="243" spans="10:12" ht="14.4">
      <c r="J243" s="6"/>
      <c r="K243" s="6"/>
      <c r="L243" s="6"/>
    </row>
    <row r="244" spans="10:12" ht="14.4">
      <c r="J244" s="6"/>
      <c r="K244" s="6"/>
      <c r="L244" s="6"/>
    </row>
    <row r="245" spans="10:12" ht="14.4">
      <c r="J245" s="6"/>
      <c r="K245" s="6"/>
      <c r="L245" s="6"/>
    </row>
    <row r="246" spans="10:12" ht="14.4">
      <c r="J246" s="6"/>
      <c r="K246" s="6"/>
      <c r="L246" s="6"/>
    </row>
    <row r="247" spans="10:12" ht="14.4">
      <c r="J247" s="6"/>
      <c r="K247" s="6"/>
      <c r="L247" s="6"/>
    </row>
    <row r="248" spans="10:12" ht="14.4">
      <c r="J248" s="6"/>
      <c r="K248" s="6"/>
      <c r="L248" s="6"/>
    </row>
    <row r="249" spans="10:12" ht="14.4">
      <c r="J249" s="6"/>
      <c r="K249" s="6"/>
      <c r="L249" s="6"/>
    </row>
    <row r="250" spans="10:12" ht="14.4">
      <c r="J250" s="6"/>
      <c r="K250" s="6"/>
      <c r="L250" s="6"/>
    </row>
    <row r="251" spans="10:12" ht="14.4">
      <c r="J251" s="6"/>
      <c r="K251" s="6"/>
      <c r="L251" s="6"/>
    </row>
    <row r="252" spans="10:12" ht="14.4">
      <c r="J252" s="6"/>
      <c r="K252" s="6"/>
      <c r="L252" s="6"/>
    </row>
    <row r="253" spans="10:12" ht="14.4">
      <c r="J253" s="6"/>
      <c r="K253" s="6"/>
      <c r="L253" s="6"/>
    </row>
    <row r="254" spans="10:12" ht="14.4">
      <c r="J254" s="6"/>
      <c r="K254" s="6"/>
      <c r="L254" s="6"/>
    </row>
    <row r="255" spans="10:12" ht="14.4">
      <c r="J255" s="6"/>
      <c r="K255" s="6"/>
      <c r="L255" s="6"/>
    </row>
    <row r="256" spans="10:12" ht="14.4">
      <c r="J256" s="6"/>
      <c r="K256" s="6"/>
      <c r="L256" s="6"/>
    </row>
    <row r="257" spans="10:12" ht="14.4">
      <c r="J257" s="6"/>
      <c r="K257" s="6"/>
      <c r="L257" s="6"/>
    </row>
    <row r="258" spans="10:12" ht="14.4">
      <c r="J258" s="6"/>
      <c r="K258" s="6"/>
      <c r="L258" s="6"/>
    </row>
    <row r="259" spans="10:12" ht="14.4">
      <c r="J259" s="6"/>
      <c r="K259" s="6"/>
      <c r="L259" s="6"/>
    </row>
    <row r="260" spans="10:12" ht="14.4">
      <c r="J260" s="6"/>
      <c r="K260" s="6"/>
      <c r="L260" s="6"/>
    </row>
    <row r="261" spans="10:12" ht="14.4">
      <c r="J261" s="6"/>
      <c r="K261" s="6"/>
      <c r="L261" s="6"/>
    </row>
    <row r="262" spans="10:12" ht="14.4">
      <c r="J262" s="6"/>
      <c r="K262" s="6"/>
      <c r="L262" s="6"/>
    </row>
    <row r="263" spans="10:12" ht="14.4">
      <c r="J263" s="6"/>
      <c r="K263" s="6"/>
      <c r="L263" s="6"/>
    </row>
    <row r="264" spans="10:12" ht="14.4">
      <c r="J264" s="6"/>
      <c r="K264" s="6"/>
      <c r="L264" s="6"/>
    </row>
    <row r="265" spans="10:12" ht="14.4">
      <c r="J265" s="6"/>
      <c r="K265" s="6"/>
      <c r="L265" s="6"/>
    </row>
    <row r="266" spans="10:12" ht="14.4">
      <c r="J266" s="6"/>
      <c r="K266" s="6"/>
      <c r="L266" s="6"/>
    </row>
    <row r="267" spans="10:12" ht="14.4">
      <c r="J267" s="6"/>
      <c r="K267" s="6"/>
      <c r="L267" s="6"/>
    </row>
    <row r="268" spans="10:12" ht="14.4">
      <c r="J268" s="6"/>
      <c r="K268" s="6"/>
      <c r="L268" s="6"/>
    </row>
    <row r="269" spans="10:12" ht="14.4">
      <c r="J269" s="6"/>
      <c r="K269" s="6"/>
      <c r="L269" s="6"/>
    </row>
    <row r="270" spans="10:12" ht="14.4">
      <c r="J270" s="6"/>
      <c r="K270" s="6"/>
      <c r="L270" s="6"/>
    </row>
    <row r="271" spans="10:12" ht="14.4">
      <c r="J271" s="6"/>
      <c r="K271" s="6"/>
      <c r="L271" s="6"/>
    </row>
    <row r="272" spans="10:12" ht="14.4">
      <c r="J272" s="6"/>
      <c r="K272" s="6"/>
      <c r="L272" s="6"/>
    </row>
    <row r="273" spans="10:12" ht="14.4">
      <c r="J273" s="6"/>
      <c r="K273" s="6"/>
      <c r="L273" s="6"/>
    </row>
    <row r="274" spans="10:12" ht="14.4">
      <c r="J274" s="6"/>
      <c r="K274" s="6"/>
      <c r="L274" s="6"/>
    </row>
    <row r="275" spans="10:12" ht="14.4">
      <c r="J275" s="6"/>
      <c r="K275" s="6"/>
      <c r="L275" s="6"/>
    </row>
    <row r="276" spans="10:12" ht="14.4">
      <c r="J276" s="6"/>
      <c r="K276" s="6"/>
      <c r="L276" s="6"/>
    </row>
    <row r="277" spans="10:12" ht="14.4">
      <c r="J277" s="6"/>
      <c r="K277" s="6"/>
      <c r="L277" s="6"/>
    </row>
    <row r="278" spans="10:12" ht="14.4">
      <c r="J278" s="6"/>
      <c r="K278" s="6"/>
      <c r="L278" s="6"/>
    </row>
    <row r="279" spans="10:12" ht="14.4">
      <c r="J279" s="6"/>
      <c r="K279" s="6"/>
      <c r="L279" s="6"/>
    </row>
    <row r="280" spans="10:12" ht="14.4">
      <c r="J280" s="6"/>
      <c r="K280" s="6"/>
      <c r="L280" s="6"/>
    </row>
    <row r="281" spans="10:12" ht="14.4">
      <c r="J281" s="6"/>
      <c r="K281" s="6"/>
      <c r="L281" s="6"/>
    </row>
    <row r="282" spans="10:12" ht="14.4">
      <c r="J282" s="6"/>
      <c r="K282" s="6"/>
      <c r="L282" s="6"/>
    </row>
    <row r="283" spans="10:12" ht="14.4">
      <c r="J283" s="6"/>
      <c r="K283" s="6"/>
      <c r="L283" s="6"/>
    </row>
    <row r="284" spans="10:12" ht="14.4">
      <c r="J284" s="6"/>
      <c r="K284" s="6"/>
      <c r="L284" s="6"/>
    </row>
    <row r="285" spans="10:12" ht="14.4">
      <c r="J285" s="6"/>
      <c r="K285" s="6"/>
      <c r="L285" s="6"/>
    </row>
    <row r="286" spans="10:12" ht="14.4">
      <c r="J286" s="6"/>
      <c r="K286" s="6"/>
      <c r="L286" s="6"/>
    </row>
    <row r="287" spans="10:12" ht="14.4">
      <c r="J287" s="6"/>
      <c r="K287" s="6"/>
      <c r="L287" s="6"/>
    </row>
    <row r="288" spans="10:12" ht="14.4">
      <c r="J288" s="6"/>
      <c r="K288" s="6"/>
      <c r="L288" s="6"/>
    </row>
    <row r="289" spans="10:12" ht="14.4">
      <c r="J289" s="6"/>
      <c r="K289" s="6"/>
      <c r="L289" s="6"/>
    </row>
    <row r="290" spans="10:12" ht="14.4">
      <c r="J290" s="6"/>
      <c r="K290" s="6"/>
      <c r="L290" s="6"/>
    </row>
    <row r="291" spans="10:12" ht="14.4">
      <c r="J291" s="6"/>
      <c r="K291" s="6"/>
      <c r="L291" s="6"/>
    </row>
    <row r="292" spans="10:12" ht="14.4">
      <c r="J292" s="6"/>
      <c r="K292" s="6"/>
      <c r="L292" s="6"/>
    </row>
    <row r="293" spans="10:12" ht="14.4">
      <c r="J293" s="6"/>
      <c r="K293" s="6"/>
      <c r="L293" s="6"/>
    </row>
    <row r="294" spans="10:12" ht="14.4">
      <c r="J294" s="6"/>
      <c r="K294" s="6"/>
      <c r="L294" s="6"/>
    </row>
    <row r="295" spans="10:12" ht="14.4">
      <c r="J295" s="6"/>
      <c r="K295" s="6"/>
      <c r="L295" s="6"/>
    </row>
    <row r="296" spans="10:12" ht="14.4">
      <c r="J296" s="6"/>
      <c r="K296" s="6"/>
      <c r="L296" s="6"/>
    </row>
    <row r="297" spans="10:12" ht="14.4">
      <c r="J297" s="6"/>
      <c r="K297" s="6"/>
      <c r="L297" s="6"/>
    </row>
    <row r="298" spans="10:12" ht="14.4">
      <c r="J298" s="6"/>
      <c r="K298" s="6"/>
      <c r="L298" s="6"/>
    </row>
    <row r="299" spans="10:12" ht="14.4">
      <c r="J299" s="6"/>
      <c r="K299" s="6"/>
      <c r="L299" s="6"/>
    </row>
    <row r="300" spans="10:12" ht="14.4">
      <c r="J300" s="6"/>
      <c r="K300" s="6"/>
      <c r="L300" s="6"/>
    </row>
    <row r="301" spans="10:12" ht="14.4">
      <c r="J301" s="6"/>
      <c r="K301" s="6"/>
      <c r="L301" s="6"/>
    </row>
    <row r="302" spans="10:12" ht="14.4">
      <c r="J302" s="6"/>
      <c r="K302" s="6"/>
      <c r="L302" s="6"/>
    </row>
    <row r="303" spans="10:12" ht="14.4">
      <c r="J303" s="6"/>
      <c r="K303" s="6"/>
      <c r="L303" s="6"/>
    </row>
    <row r="304" spans="10:12" ht="14.4">
      <c r="J304" s="6"/>
      <c r="K304" s="6"/>
      <c r="L304" s="6"/>
    </row>
    <row r="305" spans="10:12" ht="14.4">
      <c r="J305" s="6"/>
      <c r="K305" s="6"/>
      <c r="L305" s="6"/>
    </row>
    <row r="306" spans="10:12" ht="14.4">
      <c r="J306" s="6"/>
      <c r="K306" s="6"/>
      <c r="L306" s="6"/>
    </row>
    <row r="307" spans="10:12" ht="14.4">
      <c r="J307" s="6"/>
      <c r="K307" s="6"/>
      <c r="L307" s="6"/>
    </row>
    <row r="308" spans="10:12" ht="14.4">
      <c r="J308" s="6"/>
      <c r="K308" s="6"/>
      <c r="L308" s="6"/>
    </row>
    <row r="309" spans="10:12" ht="14.4">
      <c r="J309" s="6"/>
      <c r="K309" s="6"/>
      <c r="L309" s="6"/>
    </row>
    <row r="310" spans="10:12" ht="14.4">
      <c r="J310" s="6"/>
      <c r="K310" s="6"/>
      <c r="L310" s="6"/>
    </row>
    <row r="311" spans="10:12" ht="14.4">
      <c r="J311" s="6"/>
      <c r="K311" s="6"/>
      <c r="L311" s="6"/>
    </row>
    <row r="312" spans="10:12" ht="14.4">
      <c r="J312" s="6"/>
      <c r="K312" s="6"/>
      <c r="L312" s="6"/>
    </row>
    <row r="313" spans="10:12" ht="14.4">
      <c r="J313" s="6"/>
      <c r="K313" s="6"/>
      <c r="L313" s="6"/>
    </row>
    <row r="314" spans="10:12" ht="14.4">
      <c r="J314" s="6"/>
      <c r="K314" s="6"/>
      <c r="L314" s="6"/>
    </row>
    <row r="315" spans="10:12" ht="14.4">
      <c r="J315" s="6"/>
      <c r="K315" s="6"/>
      <c r="L315" s="6"/>
    </row>
    <row r="316" spans="10:12" ht="14.4">
      <c r="J316" s="6"/>
      <c r="K316" s="6"/>
      <c r="L316" s="6"/>
    </row>
    <row r="317" spans="10:12" ht="14.4">
      <c r="J317" s="6"/>
      <c r="K317" s="6"/>
      <c r="L317" s="6"/>
    </row>
    <row r="318" spans="10:12" ht="14.4">
      <c r="J318" s="6"/>
      <c r="K318" s="6"/>
      <c r="L318" s="6"/>
    </row>
    <row r="319" spans="10:12" ht="14.4">
      <c r="J319" s="6"/>
      <c r="K319" s="6"/>
      <c r="L319" s="6"/>
    </row>
    <row r="320" spans="10:12" ht="14.4">
      <c r="J320" s="6"/>
      <c r="K320" s="6"/>
      <c r="L320" s="6"/>
    </row>
    <row r="321" spans="10:12" ht="14.4">
      <c r="J321" s="6"/>
      <c r="K321" s="6"/>
      <c r="L321" s="6"/>
    </row>
    <row r="322" spans="10:12" ht="14.4">
      <c r="J322" s="6"/>
      <c r="K322" s="6"/>
      <c r="L322" s="6"/>
    </row>
    <row r="323" spans="10:12" ht="14.4">
      <c r="J323" s="6"/>
      <c r="K323" s="6"/>
      <c r="L323" s="6"/>
    </row>
    <row r="324" spans="10:12" ht="14.4">
      <c r="J324" s="6"/>
      <c r="K324" s="6"/>
      <c r="L324" s="6"/>
    </row>
    <row r="325" spans="10:12" ht="14.4">
      <c r="J325" s="6"/>
      <c r="K325" s="6"/>
      <c r="L325" s="6"/>
    </row>
    <row r="326" spans="10:12" ht="14.4">
      <c r="J326" s="6"/>
      <c r="K326" s="6"/>
      <c r="L326" s="6"/>
    </row>
    <row r="327" spans="10:12" ht="14.4">
      <c r="J327" s="6"/>
      <c r="K327" s="6"/>
      <c r="L327" s="6"/>
    </row>
    <row r="328" spans="10:12" ht="14.4">
      <c r="J328" s="6"/>
      <c r="K328" s="6"/>
      <c r="L328" s="6"/>
    </row>
    <row r="329" spans="10:12" ht="14.4">
      <c r="J329" s="6"/>
      <c r="K329" s="6"/>
      <c r="L329" s="6"/>
    </row>
    <row r="330" spans="10:12" ht="14.4">
      <c r="J330" s="6"/>
      <c r="K330" s="6"/>
      <c r="L330" s="6"/>
    </row>
    <row r="331" spans="10:12" ht="14.4">
      <c r="J331" s="6"/>
      <c r="K331" s="6"/>
      <c r="L331" s="6"/>
    </row>
    <row r="332" spans="10:12" ht="14.4">
      <c r="J332" s="6"/>
      <c r="K332" s="6"/>
      <c r="L332" s="6"/>
    </row>
    <row r="333" spans="10:12" ht="14.4">
      <c r="J333" s="6"/>
      <c r="K333" s="6"/>
      <c r="L333" s="6"/>
    </row>
    <row r="334" spans="10:12" ht="14.4">
      <c r="J334" s="6"/>
      <c r="K334" s="6"/>
      <c r="L334" s="6"/>
    </row>
    <row r="335" spans="10:12" ht="14.4">
      <c r="J335" s="6"/>
      <c r="K335" s="6"/>
      <c r="L335" s="6"/>
    </row>
    <row r="336" spans="10:12" ht="14.4">
      <c r="J336" s="6"/>
      <c r="K336" s="6"/>
      <c r="L336" s="6"/>
    </row>
    <row r="337" spans="10:12" ht="14.4">
      <c r="J337" s="6"/>
      <c r="K337" s="6"/>
      <c r="L337" s="6"/>
    </row>
    <row r="338" spans="10:12" ht="14.4">
      <c r="J338" s="6"/>
      <c r="K338" s="6"/>
      <c r="L338" s="6"/>
    </row>
    <row r="339" spans="10:12" ht="14.4">
      <c r="J339" s="6"/>
      <c r="K339" s="6"/>
      <c r="L339" s="6"/>
    </row>
    <row r="340" spans="10:12" ht="14.4">
      <c r="J340" s="6"/>
      <c r="K340" s="6"/>
      <c r="L340" s="6"/>
    </row>
    <row r="341" spans="10:12" ht="14.4">
      <c r="J341" s="6"/>
      <c r="K341" s="6"/>
      <c r="L341" s="6"/>
    </row>
    <row r="342" spans="10:12" ht="14.4">
      <c r="J342" s="6"/>
      <c r="K342" s="6"/>
      <c r="L342" s="6"/>
    </row>
    <row r="343" spans="10:12" ht="14.4">
      <c r="J343" s="6"/>
      <c r="K343" s="6"/>
      <c r="L343" s="6"/>
    </row>
    <row r="344" spans="10:12" ht="14.4">
      <c r="J344" s="6"/>
      <c r="K344" s="6"/>
      <c r="L344" s="6"/>
    </row>
    <row r="345" spans="10:12" ht="14.4">
      <c r="J345" s="6"/>
      <c r="K345" s="6"/>
      <c r="L345" s="6"/>
    </row>
    <row r="346" spans="10:12" ht="14.4">
      <c r="J346" s="6"/>
      <c r="K346" s="6"/>
      <c r="L346" s="6"/>
    </row>
    <row r="347" spans="10:12" ht="14.4">
      <c r="J347" s="6"/>
      <c r="K347" s="6"/>
      <c r="L347" s="6"/>
    </row>
    <row r="348" spans="10:12" ht="14.4">
      <c r="J348" s="6"/>
      <c r="K348" s="6"/>
      <c r="L348" s="6"/>
    </row>
    <row r="349" spans="10:12" ht="14.4">
      <c r="J349" s="6"/>
      <c r="K349" s="6"/>
      <c r="L349" s="6"/>
    </row>
    <row r="350" spans="10:12" ht="14.4">
      <c r="J350" s="6"/>
      <c r="K350" s="6"/>
      <c r="L350" s="6"/>
    </row>
    <row r="351" spans="10:12" ht="14.4">
      <c r="J351" s="6"/>
      <c r="K351" s="6"/>
      <c r="L351" s="6"/>
    </row>
    <row r="352" spans="10:12" ht="14.4">
      <c r="J352" s="6"/>
      <c r="K352" s="6"/>
      <c r="L352" s="6"/>
    </row>
    <row r="353" spans="10:12" ht="14.4">
      <c r="J353" s="6"/>
      <c r="K353" s="6"/>
      <c r="L353" s="6"/>
    </row>
    <row r="354" spans="10:12" ht="14.4">
      <c r="J354" s="6"/>
      <c r="K354" s="6"/>
      <c r="L354" s="6"/>
    </row>
    <row r="355" spans="10:12" ht="14.4">
      <c r="J355" s="6"/>
      <c r="K355" s="6"/>
      <c r="L355" s="6"/>
    </row>
    <row r="356" spans="10:12" ht="14.4">
      <c r="J356" s="6"/>
      <c r="K356" s="6"/>
      <c r="L356" s="6"/>
    </row>
    <row r="357" spans="10:12" ht="14.4">
      <c r="J357" s="6"/>
      <c r="K357" s="6"/>
      <c r="L357" s="6"/>
    </row>
    <row r="358" spans="10:12" ht="14.4">
      <c r="J358" s="6"/>
      <c r="K358" s="6"/>
      <c r="L358" s="6"/>
    </row>
    <row r="359" spans="10:12" ht="14.4">
      <c r="J359" s="6"/>
      <c r="K359" s="6"/>
      <c r="L359" s="6"/>
    </row>
    <row r="360" spans="10:12" ht="14.4">
      <c r="J360" s="6"/>
      <c r="K360" s="6"/>
      <c r="L360" s="6"/>
    </row>
    <row r="361" spans="10:12" ht="14.4">
      <c r="J361" s="6"/>
      <c r="K361" s="6"/>
      <c r="L361" s="6"/>
    </row>
    <row r="362" spans="10:12" ht="14.4">
      <c r="J362" s="6"/>
      <c r="K362" s="6"/>
      <c r="L362" s="6"/>
    </row>
    <row r="363" spans="10:12" ht="14.4">
      <c r="J363" s="6"/>
      <c r="K363" s="6"/>
      <c r="L363" s="6"/>
    </row>
    <row r="364" spans="10:12" ht="14.4">
      <c r="J364" s="6"/>
      <c r="K364" s="6"/>
      <c r="L364" s="6"/>
    </row>
    <row r="365" spans="10:12" ht="14.4">
      <c r="J365" s="6"/>
      <c r="K365" s="6"/>
      <c r="L365" s="6"/>
    </row>
    <row r="366" spans="10:12" ht="14.4">
      <c r="J366" s="6"/>
      <c r="K366" s="6"/>
      <c r="L366" s="6"/>
    </row>
    <row r="367" spans="10:12" ht="14.4">
      <c r="J367" s="6"/>
      <c r="K367" s="6"/>
      <c r="L367" s="6"/>
    </row>
    <row r="368" spans="10:12" ht="14.4">
      <c r="J368" s="6"/>
      <c r="K368" s="6"/>
      <c r="L368" s="6"/>
    </row>
    <row r="369" spans="10:12" ht="14.4">
      <c r="J369" s="6"/>
      <c r="K369" s="6"/>
      <c r="L369" s="6"/>
    </row>
    <row r="370" spans="10:12" ht="14.4">
      <c r="J370" s="6"/>
      <c r="K370" s="6"/>
      <c r="L370" s="6"/>
    </row>
    <row r="371" spans="10:12" ht="14.4">
      <c r="J371" s="6"/>
      <c r="K371" s="6"/>
      <c r="L371" s="6"/>
    </row>
    <row r="372" spans="10:12" ht="14.4">
      <c r="J372" s="6"/>
      <c r="K372" s="6"/>
      <c r="L372" s="6"/>
    </row>
    <row r="373" spans="10:12" ht="14.4">
      <c r="J373" s="6"/>
      <c r="K373" s="6"/>
      <c r="L373" s="6"/>
    </row>
    <row r="374" spans="10:12" ht="14.4">
      <c r="J374" s="6"/>
      <c r="K374" s="6"/>
      <c r="L374" s="6"/>
    </row>
    <row r="375" spans="10:12" ht="14.4">
      <c r="J375" s="6"/>
      <c r="K375" s="6"/>
      <c r="L375" s="6"/>
    </row>
    <row r="376" spans="10:12" ht="14.4">
      <c r="J376" s="6"/>
      <c r="K376" s="6"/>
      <c r="L376" s="6"/>
    </row>
    <row r="377" spans="10:12" ht="14.4">
      <c r="J377" s="6"/>
      <c r="K377" s="6"/>
      <c r="L377" s="6"/>
    </row>
    <row r="378" spans="10:12" ht="14.4">
      <c r="J378" s="6"/>
      <c r="K378" s="6"/>
      <c r="L378" s="6"/>
    </row>
    <row r="379" spans="10:12" ht="14.4">
      <c r="J379" s="6"/>
      <c r="K379" s="6"/>
      <c r="L379" s="6"/>
    </row>
    <row r="380" spans="10:12" ht="14.4">
      <c r="J380" s="6"/>
      <c r="K380" s="6"/>
      <c r="L380" s="6"/>
    </row>
    <row r="381" spans="10:12" ht="14.4">
      <c r="J381" s="6"/>
      <c r="K381" s="6"/>
      <c r="L381" s="6"/>
    </row>
    <row r="382" spans="10:12" ht="14.4">
      <c r="J382" s="6"/>
      <c r="K382" s="6"/>
      <c r="L382" s="6"/>
    </row>
    <row r="383" spans="10:12" ht="14.4">
      <c r="J383" s="6"/>
      <c r="K383" s="6"/>
      <c r="L383" s="6"/>
    </row>
    <row r="384" spans="10:12" ht="14.4">
      <c r="J384" s="6"/>
      <c r="K384" s="6"/>
      <c r="L384" s="6"/>
    </row>
    <row r="385" spans="10:12" ht="14.4">
      <c r="J385" s="6"/>
      <c r="K385" s="6"/>
      <c r="L385" s="6"/>
    </row>
    <row r="386" spans="10:12" ht="14.4">
      <c r="J386" s="6"/>
      <c r="K386" s="6"/>
      <c r="L386" s="6"/>
    </row>
    <row r="387" spans="10:12" ht="14.4">
      <c r="J387" s="6"/>
      <c r="K387" s="6"/>
      <c r="L387" s="6"/>
    </row>
    <row r="388" spans="10:12" ht="14.4">
      <c r="J388" s="6"/>
      <c r="K388" s="6"/>
      <c r="L388" s="6"/>
    </row>
    <row r="389" spans="10:12" ht="14.4">
      <c r="J389" s="6"/>
      <c r="K389" s="6"/>
      <c r="L389" s="6"/>
    </row>
    <row r="390" spans="10:12" ht="14.4">
      <c r="J390" s="6"/>
      <c r="K390" s="6"/>
      <c r="L390" s="6"/>
    </row>
    <row r="391" spans="10:12" ht="14.4">
      <c r="J391" s="6"/>
      <c r="K391" s="6"/>
      <c r="L391" s="6"/>
    </row>
    <row r="392" spans="10:12" ht="14.4">
      <c r="J392" s="6"/>
      <c r="K392" s="6"/>
      <c r="L392" s="6"/>
    </row>
    <row r="393" spans="10:12" ht="14.4">
      <c r="J393" s="6"/>
      <c r="K393" s="6"/>
      <c r="L393" s="6"/>
    </row>
    <row r="394" spans="10:12" ht="14.4">
      <c r="J394" s="6"/>
      <c r="K394" s="6"/>
      <c r="L394" s="6"/>
    </row>
    <row r="395" spans="10:12" ht="14.4">
      <c r="J395" s="6"/>
      <c r="K395" s="6"/>
      <c r="L395" s="6"/>
    </row>
    <row r="396" spans="10:12" ht="14.4">
      <c r="J396" s="6"/>
      <c r="K396" s="6"/>
      <c r="L396" s="6"/>
    </row>
    <row r="397" spans="10:12" ht="14.4">
      <c r="J397" s="6"/>
      <c r="K397" s="6"/>
      <c r="L397" s="6"/>
    </row>
    <row r="398" spans="10:12" ht="14.4">
      <c r="J398" s="6"/>
      <c r="K398" s="6"/>
      <c r="L398" s="6"/>
    </row>
    <row r="399" spans="10:12" ht="14.4">
      <c r="J399" s="6"/>
      <c r="K399" s="6"/>
      <c r="L399" s="6"/>
    </row>
    <row r="400" spans="10:12" ht="14.4">
      <c r="J400" s="6"/>
      <c r="K400" s="6"/>
      <c r="L400" s="6"/>
    </row>
    <row r="401" spans="10:12" ht="14.4">
      <c r="J401" s="6"/>
      <c r="K401" s="6"/>
      <c r="L401" s="6"/>
    </row>
    <row r="402" spans="10:12" ht="14.4">
      <c r="J402" s="6"/>
      <c r="K402" s="6"/>
      <c r="L402" s="6"/>
    </row>
    <row r="403" spans="10:12" ht="14.4">
      <c r="J403" s="6"/>
      <c r="K403" s="6"/>
      <c r="L403" s="6"/>
    </row>
    <row r="404" spans="10:12" ht="14.4">
      <c r="J404" s="6"/>
      <c r="K404" s="6"/>
      <c r="L404" s="6"/>
    </row>
    <row r="405" spans="10:12" ht="14.4">
      <c r="J405" s="6"/>
      <c r="K405" s="6"/>
      <c r="L405" s="6"/>
    </row>
    <row r="406" spans="10:12" ht="14.4">
      <c r="J406" s="6"/>
      <c r="K406" s="6"/>
      <c r="L406" s="6"/>
    </row>
    <row r="407" spans="10:12" ht="14.4">
      <c r="J407" s="6"/>
      <c r="K407" s="6"/>
      <c r="L407" s="6"/>
    </row>
    <row r="408" spans="10:12" ht="14.4">
      <c r="J408" s="6"/>
      <c r="K408" s="6"/>
      <c r="L408" s="6"/>
    </row>
    <row r="409" spans="10:12" ht="14.4">
      <c r="J409" s="6"/>
      <c r="K409" s="6"/>
      <c r="L409" s="6"/>
    </row>
    <row r="410" spans="10:12" ht="14.4">
      <c r="J410" s="6"/>
      <c r="K410" s="6"/>
      <c r="L410" s="6"/>
    </row>
    <row r="411" spans="10:12" ht="14.4">
      <c r="J411" s="6"/>
      <c r="K411" s="6"/>
      <c r="L411" s="6"/>
    </row>
    <row r="412" spans="10:12" ht="14.4">
      <c r="J412" s="6"/>
      <c r="K412" s="6"/>
      <c r="L412" s="6"/>
    </row>
    <row r="413" spans="10:12" ht="14.4">
      <c r="J413" s="6"/>
      <c r="K413" s="6"/>
      <c r="L413" s="6"/>
    </row>
    <row r="414" spans="10:12" ht="14.4">
      <c r="J414" s="6"/>
      <c r="K414" s="6"/>
      <c r="L414" s="6"/>
    </row>
    <row r="415" spans="10:12" ht="14.4">
      <c r="J415" s="6"/>
      <c r="K415" s="6"/>
      <c r="L415" s="6"/>
    </row>
    <row r="416" spans="10:12" ht="14.4">
      <c r="J416" s="6"/>
      <c r="K416" s="6"/>
      <c r="L416" s="6"/>
    </row>
    <row r="417" spans="10:12" ht="14.4">
      <c r="J417" s="6"/>
      <c r="K417" s="6"/>
      <c r="L417" s="6"/>
    </row>
    <row r="418" spans="10:12" ht="14.4">
      <c r="J418" s="6"/>
      <c r="K418" s="6"/>
      <c r="L418" s="6"/>
    </row>
    <row r="419" spans="10:12" ht="14.4">
      <c r="J419" s="6"/>
      <c r="K419" s="6"/>
      <c r="L419" s="6"/>
    </row>
    <row r="420" spans="10:12" ht="14.4">
      <c r="J420" s="6"/>
      <c r="K420" s="6"/>
      <c r="L420" s="6"/>
    </row>
    <row r="421" spans="10:12" ht="14.4">
      <c r="J421" s="6"/>
      <c r="K421" s="6"/>
      <c r="L421" s="6"/>
    </row>
    <row r="422" spans="10:12" ht="14.4">
      <c r="J422" s="6"/>
      <c r="K422" s="6"/>
      <c r="L422" s="6"/>
    </row>
    <row r="423" spans="10:12" ht="14.4">
      <c r="J423" s="6"/>
      <c r="K423" s="6"/>
      <c r="L423" s="6"/>
    </row>
    <row r="424" spans="10:12" ht="14.4">
      <c r="J424" s="6"/>
      <c r="K424" s="6"/>
      <c r="L424" s="6"/>
    </row>
    <row r="425" spans="10:12" ht="14.4">
      <c r="J425" s="6"/>
      <c r="K425" s="6"/>
      <c r="L425" s="6"/>
    </row>
    <row r="426" spans="10:12" ht="14.4">
      <c r="J426" s="6"/>
      <c r="K426" s="6"/>
      <c r="L426" s="6"/>
    </row>
    <row r="427" spans="10:12" ht="14.4">
      <c r="J427" s="6"/>
      <c r="K427" s="6"/>
      <c r="L427" s="6"/>
    </row>
    <row r="428" spans="10:12" ht="14.4">
      <c r="J428" s="6"/>
      <c r="K428" s="6"/>
      <c r="L428" s="6"/>
    </row>
    <row r="429" spans="10:12" ht="14.4">
      <c r="J429" s="6"/>
      <c r="K429" s="6"/>
      <c r="L429" s="6"/>
    </row>
    <row r="430" spans="10:12" ht="14.4">
      <c r="J430" s="6"/>
      <c r="K430" s="6"/>
      <c r="L430" s="6"/>
    </row>
    <row r="431" spans="10:12" ht="14.4">
      <c r="J431" s="6"/>
      <c r="K431" s="6"/>
      <c r="L431" s="6"/>
    </row>
    <row r="432" spans="10:12" ht="14.4">
      <c r="J432" s="6"/>
      <c r="K432" s="6"/>
      <c r="L432" s="6"/>
    </row>
    <row r="433" spans="10:12" ht="14.4">
      <c r="J433" s="6"/>
      <c r="K433" s="6"/>
      <c r="L433" s="6"/>
    </row>
    <row r="434" spans="10:12" ht="14.4">
      <c r="J434" s="6"/>
      <c r="K434" s="6"/>
      <c r="L434" s="6"/>
    </row>
    <row r="435" spans="10:12" ht="14.4">
      <c r="J435" s="6"/>
      <c r="K435" s="6"/>
      <c r="L435" s="6"/>
    </row>
    <row r="436" spans="10:12" ht="14.4">
      <c r="J436" s="6"/>
      <c r="K436" s="6"/>
      <c r="L436" s="6"/>
    </row>
    <row r="437" spans="10:12" ht="14.4">
      <c r="J437" s="6"/>
      <c r="K437" s="6"/>
      <c r="L437" s="6"/>
    </row>
    <row r="438" spans="10:12" ht="14.4">
      <c r="J438" s="6"/>
      <c r="K438" s="6"/>
      <c r="L438" s="6"/>
    </row>
    <row r="439" spans="10:12" ht="14.4">
      <c r="J439" s="6"/>
      <c r="K439" s="6"/>
      <c r="L439" s="6"/>
    </row>
    <row r="440" spans="10:12" ht="14.4">
      <c r="J440" s="6"/>
      <c r="K440" s="6"/>
      <c r="L440" s="6"/>
    </row>
    <row r="441" spans="10:12" ht="14.4">
      <c r="J441" s="6"/>
      <c r="K441" s="6"/>
      <c r="L441" s="6"/>
    </row>
    <row r="442" spans="10:12" ht="14.4">
      <c r="J442" s="6"/>
      <c r="K442" s="6"/>
      <c r="L442" s="6"/>
    </row>
    <row r="443" spans="10:12" ht="14.4">
      <c r="J443" s="6"/>
      <c r="K443" s="6"/>
      <c r="L443" s="6"/>
    </row>
    <row r="444" spans="10:12" ht="14.4">
      <c r="J444" s="6"/>
      <c r="K444" s="6"/>
      <c r="L444" s="6"/>
    </row>
    <row r="445" spans="10:12" ht="14.4">
      <c r="J445" s="6"/>
      <c r="K445" s="6"/>
      <c r="L445" s="6"/>
    </row>
    <row r="446" spans="10:12" ht="14.4">
      <c r="J446" s="6"/>
      <c r="K446" s="6"/>
      <c r="L446" s="6"/>
    </row>
    <row r="447" spans="10:12" ht="14.4">
      <c r="J447" s="6"/>
      <c r="K447" s="6"/>
      <c r="L447" s="6"/>
    </row>
    <row r="448" spans="10:12" ht="14.4">
      <c r="J448" s="6"/>
      <c r="K448" s="6"/>
      <c r="L448" s="6"/>
    </row>
    <row r="449" spans="10:12" ht="14.4">
      <c r="J449" s="6"/>
      <c r="K449" s="6"/>
      <c r="L449" s="6"/>
    </row>
    <row r="450" spans="10:12" ht="14.4">
      <c r="J450" s="6"/>
      <c r="K450" s="6"/>
      <c r="L450" s="6"/>
    </row>
    <row r="451" spans="10:12" ht="14.4">
      <c r="J451" s="6"/>
      <c r="K451" s="6"/>
      <c r="L451" s="6"/>
    </row>
    <row r="452" spans="10:12" ht="14.4">
      <c r="J452" s="6"/>
      <c r="K452" s="6"/>
      <c r="L452" s="6"/>
    </row>
    <row r="453" spans="10:12" ht="14.4">
      <c r="J453" s="6"/>
      <c r="K453" s="6"/>
      <c r="L453" s="6"/>
    </row>
    <row r="454" spans="10:12" ht="14.4">
      <c r="J454" s="6"/>
      <c r="K454" s="6"/>
      <c r="L454" s="6"/>
    </row>
    <row r="455" spans="10:12" ht="14.4">
      <c r="J455" s="6"/>
      <c r="K455" s="6"/>
      <c r="L455" s="6"/>
    </row>
    <row r="456" spans="10:12" ht="14.4">
      <c r="J456" s="6"/>
      <c r="K456" s="6"/>
      <c r="L456" s="6"/>
    </row>
    <row r="457" spans="10:12" ht="14.4">
      <c r="J457" s="6"/>
      <c r="K457" s="6"/>
      <c r="L457" s="6"/>
    </row>
    <row r="458" spans="10:12" ht="14.4">
      <c r="J458" s="6"/>
      <c r="K458" s="6"/>
      <c r="L458" s="6"/>
    </row>
    <row r="459" spans="10:12" ht="14.4">
      <c r="J459" s="6"/>
      <c r="K459" s="6"/>
      <c r="L459" s="6"/>
    </row>
    <row r="460" spans="10:12" ht="14.4">
      <c r="J460" s="6"/>
      <c r="K460" s="6"/>
      <c r="L460" s="6"/>
    </row>
    <row r="461" spans="10:12" ht="14.4">
      <c r="J461" s="6"/>
      <c r="K461" s="6"/>
      <c r="L461" s="6"/>
    </row>
    <row r="462" spans="10:12" ht="14.4">
      <c r="J462" s="6"/>
      <c r="K462" s="6"/>
      <c r="L462" s="6"/>
    </row>
    <row r="463" spans="10:12" ht="14.4">
      <c r="J463" s="6"/>
      <c r="K463" s="6"/>
      <c r="L463" s="6"/>
    </row>
    <row r="464" spans="10:12" ht="14.4">
      <c r="J464" s="6"/>
      <c r="K464" s="6"/>
      <c r="L464" s="6"/>
    </row>
    <row r="465" spans="10:12" ht="14.4">
      <c r="J465" s="6"/>
      <c r="K465" s="6"/>
      <c r="L465" s="6"/>
    </row>
    <row r="466" spans="10:12" ht="14.4">
      <c r="J466" s="6"/>
      <c r="K466" s="6"/>
      <c r="L466" s="6"/>
    </row>
    <row r="467" spans="10:12" ht="14.4">
      <c r="J467" s="6"/>
      <c r="K467" s="6"/>
      <c r="L467" s="6"/>
    </row>
    <row r="468" spans="10:12" ht="14.4">
      <c r="J468" s="6"/>
      <c r="K468" s="6"/>
      <c r="L468" s="6"/>
    </row>
    <row r="469" spans="10:12" ht="14.4">
      <c r="J469" s="6"/>
      <c r="K469" s="6"/>
      <c r="L469" s="6"/>
    </row>
    <row r="470" spans="10:12" ht="14.4">
      <c r="J470" s="6"/>
      <c r="K470" s="6"/>
      <c r="L470" s="6"/>
    </row>
    <row r="471" spans="10:12" ht="14.4">
      <c r="J471" s="6"/>
      <c r="K471" s="6"/>
      <c r="L471" s="6"/>
    </row>
    <row r="472" spans="10:12" ht="14.4">
      <c r="J472" s="6"/>
      <c r="K472" s="6"/>
      <c r="L472" s="6"/>
    </row>
    <row r="473" spans="10:12" ht="14.4">
      <c r="J473" s="6"/>
      <c r="K473" s="6"/>
      <c r="L473" s="6"/>
    </row>
    <row r="474" spans="10:12" ht="14.4">
      <c r="J474" s="6"/>
      <c r="K474" s="6"/>
      <c r="L474" s="6"/>
    </row>
    <row r="475" spans="10:12" ht="14.4">
      <c r="J475" s="6"/>
      <c r="K475" s="6"/>
      <c r="L475" s="6"/>
    </row>
    <row r="476" spans="10:12" ht="14.4">
      <c r="J476" s="6"/>
      <c r="K476" s="6"/>
      <c r="L476" s="6"/>
    </row>
    <row r="477" spans="10:12" ht="14.4">
      <c r="J477" s="6"/>
      <c r="K477" s="6"/>
      <c r="L477" s="6"/>
    </row>
    <row r="478" spans="10:12" ht="14.4">
      <c r="J478" s="6"/>
      <c r="K478" s="6"/>
      <c r="L478" s="6"/>
    </row>
    <row r="479" spans="10:12" ht="14.4">
      <c r="J479" s="6"/>
      <c r="K479" s="6"/>
      <c r="L479" s="6"/>
    </row>
    <row r="480" spans="10:12" ht="14.4">
      <c r="J480" s="6"/>
      <c r="K480" s="6"/>
      <c r="L480" s="6"/>
    </row>
    <row r="481" spans="10:12" ht="14.4">
      <c r="J481" s="6"/>
      <c r="K481" s="6"/>
      <c r="L481" s="6"/>
    </row>
    <row r="482" spans="10:12" ht="14.4">
      <c r="J482" s="6"/>
      <c r="K482" s="6"/>
      <c r="L482" s="6"/>
    </row>
    <row r="483" spans="10:12" ht="14.4">
      <c r="J483" s="6"/>
      <c r="K483" s="6"/>
      <c r="L483" s="6"/>
    </row>
    <row r="484" spans="10:12" ht="14.4">
      <c r="J484" s="6"/>
      <c r="K484" s="6"/>
      <c r="L484" s="6"/>
    </row>
    <row r="485" spans="10:12" ht="14.4">
      <c r="J485" s="6"/>
      <c r="K485" s="6"/>
      <c r="L485" s="6"/>
    </row>
    <row r="486" spans="10:12" ht="14.4">
      <c r="J486" s="6"/>
      <c r="K486" s="6"/>
      <c r="L486" s="6"/>
    </row>
    <row r="487" spans="10:12" ht="14.4">
      <c r="J487" s="6"/>
      <c r="K487" s="6"/>
      <c r="L487" s="6"/>
    </row>
    <row r="488" spans="10:12" ht="14.4">
      <c r="J488" s="6"/>
      <c r="K488" s="6"/>
      <c r="L488" s="6"/>
    </row>
    <row r="489" spans="10:12" ht="14.4">
      <c r="J489" s="6"/>
      <c r="K489" s="6"/>
      <c r="L489" s="6"/>
    </row>
    <row r="490" spans="10:12" ht="14.4">
      <c r="J490" s="6"/>
      <c r="K490" s="6"/>
      <c r="L490" s="6"/>
    </row>
    <row r="491" spans="10:12" ht="14.4">
      <c r="J491" s="6"/>
      <c r="K491" s="6"/>
      <c r="L491" s="6"/>
    </row>
    <row r="492" spans="10:12" ht="14.4">
      <c r="J492" s="6"/>
      <c r="K492" s="6"/>
      <c r="L492" s="6"/>
    </row>
    <row r="493" spans="10:12" ht="14.4">
      <c r="J493" s="6"/>
      <c r="K493" s="6"/>
      <c r="L493" s="6"/>
    </row>
    <row r="494" spans="10:12" ht="14.4">
      <c r="J494" s="6"/>
      <c r="K494" s="6"/>
      <c r="L494" s="6"/>
    </row>
    <row r="495" spans="10:12" ht="14.4">
      <c r="J495" s="6"/>
      <c r="K495" s="6"/>
      <c r="L495" s="6"/>
    </row>
    <row r="496" spans="10:12" ht="14.4">
      <c r="J496" s="6"/>
      <c r="K496" s="6"/>
      <c r="L496" s="6"/>
    </row>
    <row r="497" spans="10:12" ht="14.4">
      <c r="J497" s="6"/>
      <c r="K497" s="6"/>
      <c r="L497" s="6"/>
    </row>
    <row r="498" spans="10:12" ht="14.4">
      <c r="J498" s="6"/>
      <c r="K498" s="6"/>
      <c r="L498" s="6"/>
    </row>
    <row r="499" spans="10:12" ht="14.4">
      <c r="J499" s="6"/>
      <c r="K499" s="6"/>
      <c r="L499" s="6"/>
    </row>
    <row r="500" spans="10:12" ht="14.4">
      <c r="J500" s="6"/>
      <c r="K500" s="6"/>
      <c r="L500" s="6"/>
    </row>
    <row r="501" spans="10:12" ht="14.4">
      <c r="J501" s="6"/>
      <c r="K501" s="6"/>
      <c r="L501" s="6"/>
    </row>
    <row r="502" spans="10:12" ht="14.4">
      <c r="J502" s="6"/>
      <c r="K502" s="6"/>
      <c r="L502" s="6"/>
    </row>
    <row r="503" spans="10:12" ht="14.4">
      <c r="J503" s="6"/>
      <c r="K503" s="6"/>
      <c r="L503" s="6"/>
    </row>
    <row r="504" spans="10:12" ht="14.4">
      <c r="J504" s="6"/>
      <c r="K504" s="6"/>
      <c r="L504" s="6"/>
    </row>
    <row r="505" spans="10:12" ht="14.4">
      <c r="J505" s="6"/>
      <c r="K505" s="6"/>
      <c r="L505" s="6"/>
    </row>
    <row r="506" spans="10:12" ht="14.4">
      <c r="J506" s="6"/>
      <c r="K506" s="6"/>
      <c r="L506" s="6"/>
    </row>
    <row r="507" spans="10:12" ht="14.4">
      <c r="J507" s="6"/>
      <c r="K507" s="6"/>
      <c r="L507" s="6"/>
    </row>
    <row r="508" spans="10:12" ht="14.4">
      <c r="J508" s="6"/>
      <c r="K508" s="6"/>
      <c r="L508" s="6"/>
    </row>
    <row r="509" spans="10:12" ht="14.4">
      <c r="J509" s="6"/>
      <c r="K509" s="6"/>
      <c r="L509" s="6"/>
    </row>
    <row r="510" spans="10:12" ht="14.4">
      <c r="J510" s="6"/>
      <c r="K510" s="6"/>
      <c r="L510" s="6"/>
    </row>
    <row r="511" spans="10:12" ht="14.4">
      <c r="J511" s="6"/>
      <c r="K511" s="6"/>
      <c r="L511" s="6"/>
    </row>
    <row r="512" spans="10:12" ht="14.4">
      <c r="J512" s="6"/>
      <c r="K512" s="6"/>
      <c r="L512" s="6"/>
    </row>
    <row r="513" spans="10:12" ht="14.4">
      <c r="J513" s="6"/>
      <c r="K513" s="6"/>
      <c r="L513" s="6"/>
    </row>
    <row r="514" spans="10:12" ht="14.4">
      <c r="J514" s="6"/>
      <c r="K514" s="6"/>
      <c r="L514" s="6"/>
    </row>
    <row r="515" spans="10:12" ht="14.4">
      <c r="J515" s="6"/>
      <c r="K515" s="6"/>
      <c r="L515" s="6"/>
    </row>
    <row r="516" spans="10:12" ht="14.4">
      <c r="J516" s="6"/>
      <c r="K516" s="6"/>
      <c r="L516" s="6"/>
    </row>
    <row r="517" spans="10:12" ht="14.4">
      <c r="J517" s="6"/>
      <c r="K517" s="6"/>
      <c r="L517" s="6"/>
    </row>
    <row r="518" spans="10:12" ht="14.4">
      <c r="J518" s="6"/>
      <c r="K518" s="6"/>
      <c r="L518" s="6"/>
    </row>
    <row r="519" spans="10:12" ht="14.4">
      <c r="J519" s="6"/>
      <c r="K519" s="6"/>
      <c r="L519" s="6"/>
    </row>
    <row r="520" spans="10:12" ht="14.4">
      <c r="J520" s="6"/>
      <c r="K520" s="6"/>
      <c r="L520" s="6"/>
    </row>
    <row r="521" spans="10:12" ht="14.4">
      <c r="J521" s="6"/>
      <c r="K521" s="6"/>
      <c r="L521" s="6"/>
    </row>
    <row r="522" spans="10:12" ht="14.4">
      <c r="J522" s="6"/>
      <c r="K522" s="6"/>
      <c r="L522" s="6"/>
    </row>
    <row r="523" spans="10:12" ht="14.4">
      <c r="J523" s="6"/>
      <c r="K523" s="6"/>
      <c r="L523" s="6"/>
    </row>
    <row r="524" spans="10:12" ht="14.4">
      <c r="J524" s="6"/>
      <c r="K524" s="6"/>
      <c r="L524" s="6"/>
    </row>
    <row r="525" spans="10:12" ht="14.4">
      <c r="J525" s="6"/>
      <c r="K525" s="6"/>
      <c r="L525" s="6"/>
    </row>
    <row r="526" spans="10:12" ht="14.4">
      <c r="J526" s="6"/>
      <c r="K526" s="6"/>
      <c r="L526" s="6"/>
    </row>
    <row r="527" spans="10:12" ht="14.4">
      <c r="J527" s="6"/>
      <c r="K527" s="6"/>
      <c r="L527" s="6"/>
    </row>
    <row r="528" spans="10:12" ht="14.4">
      <c r="J528" s="6"/>
      <c r="K528" s="6"/>
      <c r="L528" s="6"/>
    </row>
    <row r="529" spans="10:12" ht="14.4">
      <c r="J529" s="6"/>
      <c r="K529" s="6"/>
      <c r="L529" s="6"/>
    </row>
    <row r="530" spans="10:12" ht="14.4">
      <c r="J530" s="6"/>
      <c r="K530" s="6"/>
      <c r="L530" s="6"/>
    </row>
    <row r="531" spans="10:12" ht="14.4">
      <c r="J531" s="6"/>
      <c r="K531" s="6"/>
      <c r="L531" s="6"/>
    </row>
    <row r="532" spans="10:12" ht="14.4">
      <c r="J532" s="6"/>
      <c r="K532" s="6"/>
      <c r="L532" s="6"/>
    </row>
    <row r="533" spans="10:12" ht="14.4">
      <c r="J533" s="6"/>
      <c r="K533" s="6"/>
      <c r="L533" s="6"/>
    </row>
    <row r="534" spans="10:12" ht="14.4">
      <c r="J534" s="6"/>
      <c r="K534" s="6"/>
      <c r="L534" s="6"/>
    </row>
    <row r="535" spans="10:12" ht="14.4">
      <c r="J535" s="6"/>
      <c r="K535" s="6"/>
      <c r="L535" s="6"/>
    </row>
    <row r="536" spans="10:12" ht="14.4">
      <c r="J536" s="6"/>
      <c r="K536" s="6"/>
      <c r="L536" s="6"/>
    </row>
    <row r="537" spans="10:12" ht="14.4">
      <c r="J537" s="6"/>
      <c r="K537" s="6"/>
      <c r="L537" s="6"/>
    </row>
    <row r="538" spans="10:12" ht="14.4">
      <c r="J538" s="6"/>
      <c r="K538" s="6"/>
      <c r="L538" s="6"/>
    </row>
    <row r="539" spans="10:12" ht="14.4">
      <c r="J539" s="6"/>
      <c r="K539" s="6"/>
      <c r="L539" s="6"/>
    </row>
    <row r="540" spans="10:12" ht="14.4">
      <c r="J540" s="6"/>
      <c r="K540" s="6"/>
      <c r="L540" s="6"/>
    </row>
    <row r="541" spans="10:12" ht="14.4">
      <c r="J541" s="6"/>
      <c r="K541" s="6"/>
      <c r="L541" s="6"/>
    </row>
    <row r="542" spans="10:12" ht="14.4">
      <c r="J542" s="6"/>
      <c r="K542" s="6"/>
      <c r="L542" s="6"/>
    </row>
    <row r="543" spans="10:12" ht="14.4">
      <c r="J543" s="6"/>
      <c r="K543" s="6"/>
      <c r="L543" s="6"/>
    </row>
    <row r="544" spans="10:12" ht="14.4">
      <c r="J544" s="6"/>
      <c r="K544" s="6"/>
      <c r="L544" s="6"/>
    </row>
    <row r="545" spans="10:12" ht="14.4">
      <c r="J545" s="6"/>
      <c r="K545" s="6"/>
      <c r="L545" s="6"/>
    </row>
    <row r="546" spans="10:12" ht="14.4">
      <c r="J546" s="6"/>
      <c r="K546" s="6"/>
      <c r="L546" s="6"/>
    </row>
    <row r="547" spans="10:12" ht="14.4">
      <c r="J547" s="6"/>
      <c r="K547" s="6"/>
      <c r="L547" s="6"/>
    </row>
    <row r="548" spans="10:12" ht="14.4">
      <c r="J548" s="6"/>
      <c r="K548" s="6"/>
      <c r="L548" s="6"/>
    </row>
    <row r="549" spans="10:12" ht="14.4">
      <c r="J549" s="6"/>
      <c r="K549" s="6"/>
      <c r="L549" s="6"/>
    </row>
    <row r="550" spans="10:12" ht="14.4">
      <c r="J550" s="6"/>
      <c r="K550" s="6"/>
      <c r="L550" s="6"/>
    </row>
    <row r="551" spans="10:12" ht="14.4">
      <c r="J551" s="6"/>
      <c r="K551" s="6"/>
      <c r="L551" s="6"/>
    </row>
    <row r="552" spans="10:12" ht="14.4">
      <c r="J552" s="6"/>
      <c r="K552" s="6"/>
      <c r="L552" s="6"/>
    </row>
    <row r="553" spans="10:12" ht="14.4">
      <c r="J553" s="6"/>
      <c r="K553" s="6"/>
      <c r="L553" s="6"/>
    </row>
    <row r="554" spans="10:12" ht="14.4">
      <c r="J554" s="6"/>
      <c r="K554" s="6"/>
      <c r="L554" s="6"/>
    </row>
    <row r="555" spans="10:12" ht="14.4">
      <c r="J555" s="6"/>
      <c r="K555" s="6"/>
      <c r="L555" s="6"/>
    </row>
    <row r="556" spans="10:12" ht="14.4">
      <c r="J556" s="6"/>
      <c r="K556" s="6"/>
      <c r="L556" s="6"/>
    </row>
    <row r="557" spans="10:12" ht="14.4">
      <c r="J557" s="6"/>
      <c r="K557" s="6"/>
      <c r="L557" s="6"/>
    </row>
    <row r="558" spans="10:12" ht="14.4">
      <c r="J558" s="6"/>
      <c r="K558" s="6"/>
      <c r="L558" s="6"/>
    </row>
    <row r="559" spans="10:12" ht="14.4">
      <c r="J559" s="6"/>
      <c r="K559" s="6"/>
      <c r="L559" s="6"/>
    </row>
    <row r="560" spans="10:12" ht="14.4">
      <c r="J560" s="6"/>
      <c r="K560" s="6"/>
      <c r="L560" s="6"/>
    </row>
    <row r="561" spans="10:12" ht="14.4">
      <c r="J561" s="6"/>
      <c r="K561" s="6"/>
      <c r="L561" s="6"/>
    </row>
    <row r="562" spans="10:12" ht="14.4">
      <c r="J562" s="6"/>
      <c r="K562" s="6"/>
      <c r="L562" s="6"/>
    </row>
    <row r="563" spans="10:12" ht="14.4">
      <c r="J563" s="6"/>
      <c r="K563" s="6"/>
      <c r="L563" s="6"/>
    </row>
    <row r="564" spans="10:12" ht="14.4">
      <c r="J564" s="6"/>
      <c r="K564" s="6"/>
      <c r="L564" s="6"/>
    </row>
    <row r="565" spans="10:12" ht="14.4">
      <c r="J565" s="6"/>
      <c r="K565" s="6"/>
      <c r="L565" s="6"/>
    </row>
    <row r="566" spans="10:12" ht="14.4">
      <c r="J566" s="6"/>
      <c r="K566" s="6"/>
      <c r="L566" s="6"/>
    </row>
    <row r="567" spans="10:12" ht="14.4">
      <c r="J567" s="6"/>
      <c r="K567" s="6"/>
      <c r="L567" s="6"/>
    </row>
    <row r="568" spans="10:12" ht="14.4">
      <c r="J568" s="6"/>
      <c r="K568" s="6"/>
      <c r="L568" s="6"/>
    </row>
    <row r="569" spans="10:12" ht="14.4">
      <c r="J569" s="6"/>
      <c r="K569" s="6"/>
      <c r="L569" s="6"/>
    </row>
    <row r="570" spans="10:12" ht="14.4">
      <c r="J570" s="6"/>
      <c r="K570" s="6"/>
      <c r="L570" s="6"/>
    </row>
    <row r="571" spans="10:12" ht="14.4">
      <c r="J571" s="6"/>
      <c r="K571" s="6"/>
      <c r="L571" s="6"/>
    </row>
    <row r="572" spans="10:12" ht="14.4">
      <c r="J572" s="6"/>
      <c r="K572" s="6"/>
      <c r="L572" s="6"/>
    </row>
    <row r="573" spans="10:12" ht="14.4">
      <c r="J573" s="6"/>
      <c r="K573" s="6"/>
      <c r="L573" s="6"/>
    </row>
    <row r="574" spans="10:12" ht="14.4">
      <c r="J574" s="6"/>
      <c r="K574" s="6"/>
      <c r="L574" s="6"/>
    </row>
    <row r="575" spans="10:12" ht="14.4">
      <c r="J575" s="6"/>
      <c r="K575" s="6"/>
      <c r="L575" s="6"/>
    </row>
    <row r="576" spans="10:12" ht="14.4">
      <c r="J576" s="6"/>
      <c r="K576" s="6"/>
      <c r="L576" s="6"/>
    </row>
    <row r="577" spans="10:12" ht="14.4">
      <c r="J577" s="6"/>
      <c r="K577" s="6"/>
      <c r="L577" s="6"/>
    </row>
    <row r="578" spans="10:12" ht="14.4">
      <c r="J578" s="6"/>
      <c r="K578" s="6"/>
      <c r="L578" s="6"/>
    </row>
    <row r="579" spans="10:12" ht="14.4">
      <c r="J579" s="6"/>
      <c r="K579" s="6"/>
      <c r="L579" s="6"/>
    </row>
    <row r="580" spans="10:12" ht="14.4">
      <c r="J580" s="6"/>
      <c r="K580" s="6"/>
      <c r="L580" s="6"/>
    </row>
    <row r="581" spans="10:12" ht="14.4">
      <c r="J581" s="6"/>
      <c r="K581" s="6"/>
      <c r="L581" s="6"/>
    </row>
    <row r="582" spans="10:12" ht="14.4">
      <c r="J582" s="6"/>
      <c r="K582" s="6"/>
      <c r="L582" s="6"/>
    </row>
    <row r="583" spans="10:12" ht="14.4">
      <c r="J583" s="6"/>
      <c r="K583" s="6"/>
      <c r="L583" s="6"/>
    </row>
    <row r="584" spans="10:12" ht="14.4">
      <c r="J584" s="6"/>
      <c r="K584" s="6"/>
      <c r="L584" s="6"/>
    </row>
    <row r="585" spans="10:12" ht="14.4">
      <c r="J585" s="6"/>
      <c r="K585" s="6"/>
      <c r="L585" s="6"/>
    </row>
    <row r="586" spans="10:12" ht="14.4">
      <c r="J586" s="6"/>
      <c r="K586" s="6"/>
      <c r="L586" s="6"/>
    </row>
    <row r="587" spans="10:12" ht="14.4">
      <c r="J587" s="6"/>
      <c r="K587" s="6"/>
      <c r="L587" s="6"/>
    </row>
    <row r="588" spans="10:12" ht="14.4">
      <c r="J588" s="6"/>
      <c r="K588" s="6"/>
      <c r="L588" s="6"/>
    </row>
    <row r="589" spans="10:12" ht="14.4">
      <c r="J589" s="6"/>
      <c r="K589" s="6"/>
      <c r="L589" s="6"/>
    </row>
    <row r="590" spans="10:12" ht="14.4">
      <c r="J590" s="6"/>
      <c r="K590" s="6"/>
      <c r="L590" s="6"/>
    </row>
    <row r="591" spans="10:12" ht="14.4">
      <c r="J591" s="6"/>
      <c r="K591" s="6"/>
      <c r="L591" s="6"/>
    </row>
    <row r="592" spans="10:12" ht="14.4">
      <c r="J592" s="6"/>
      <c r="K592" s="6"/>
      <c r="L592" s="6"/>
    </row>
    <row r="593" spans="10:12" ht="14.4">
      <c r="J593" s="6"/>
      <c r="K593" s="6"/>
      <c r="L593" s="6"/>
    </row>
    <row r="594" spans="10:12" ht="14.4">
      <c r="J594" s="6"/>
      <c r="K594" s="6"/>
      <c r="L594" s="6"/>
    </row>
    <row r="595" spans="10:12" ht="14.4">
      <c r="J595" s="6"/>
      <c r="K595" s="6"/>
      <c r="L595" s="6"/>
    </row>
    <row r="596" spans="10:12" ht="14.4">
      <c r="J596" s="6"/>
      <c r="K596" s="6"/>
      <c r="L596" s="6"/>
    </row>
    <row r="597" spans="10:12" ht="14.4">
      <c r="J597" s="6"/>
      <c r="K597" s="6"/>
      <c r="L597" s="6"/>
    </row>
    <row r="598" spans="10:12" ht="14.4">
      <c r="J598" s="6"/>
      <c r="K598" s="6"/>
      <c r="L598" s="6"/>
    </row>
    <row r="599" spans="10:12" ht="14.4">
      <c r="J599" s="6"/>
      <c r="K599" s="6"/>
      <c r="L599" s="6"/>
    </row>
    <row r="600" spans="10:12" ht="14.4">
      <c r="J600" s="6"/>
      <c r="K600" s="6"/>
      <c r="L600" s="6"/>
    </row>
    <row r="601" spans="10:12" ht="14.4">
      <c r="J601" s="6"/>
      <c r="K601" s="6"/>
      <c r="L601" s="6"/>
    </row>
    <row r="602" spans="10:12" ht="14.4">
      <c r="J602" s="6"/>
      <c r="K602" s="6"/>
      <c r="L602" s="6"/>
    </row>
    <row r="603" spans="10:12" ht="14.4">
      <c r="J603" s="6"/>
      <c r="K603" s="6"/>
      <c r="L603" s="6"/>
    </row>
    <row r="604" spans="10:12" ht="14.4">
      <c r="J604" s="6"/>
      <c r="K604" s="6"/>
      <c r="L604" s="6"/>
    </row>
    <row r="605" spans="10:12" ht="14.4">
      <c r="J605" s="6"/>
      <c r="K605" s="6"/>
      <c r="L605" s="6"/>
    </row>
    <row r="606" spans="10:12" ht="14.4">
      <c r="J606" s="6"/>
      <c r="K606" s="6"/>
      <c r="L606" s="6"/>
    </row>
    <row r="607" spans="10:12" ht="14.4">
      <c r="J607" s="6"/>
      <c r="K607" s="6"/>
      <c r="L607" s="6"/>
    </row>
    <row r="608" spans="10:12" ht="14.4">
      <c r="J608" s="6"/>
      <c r="K608" s="6"/>
      <c r="L608" s="6"/>
    </row>
    <row r="609" spans="10:12" ht="14.4">
      <c r="J609" s="6"/>
      <c r="K609" s="6"/>
      <c r="L609" s="6"/>
    </row>
    <row r="610" spans="10:12" ht="14.4">
      <c r="J610" s="6"/>
      <c r="K610" s="6"/>
      <c r="L610" s="6"/>
    </row>
    <row r="611" spans="10:12" ht="14.4">
      <c r="J611" s="6"/>
      <c r="K611" s="6"/>
      <c r="L611" s="6"/>
    </row>
    <row r="612" spans="10:12" ht="14.4">
      <c r="J612" s="6"/>
      <c r="K612" s="6"/>
      <c r="L612" s="6"/>
    </row>
    <row r="613" spans="10:12" ht="14.4">
      <c r="J613" s="6"/>
      <c r="K613" s="6"/>
      <c r="L613" s="6"/>
    </row>
    <row r="614" spans="10:12" ht="14.4">
      <c r="J614" s="6"/>
      <c r="K614" s="6"/>
      <c r="L614" s="6"/>
    </row>
    <row r="615" spans="10:12" ht="14.4">
      <c r="J615" s="6"/>
      <c r="K615" s="6"/>
      <c r="L615" s="6"/>
    </row>
    <row r="616" spans="10:12" ht="14.4">
      <c r="J616" s="6"/>
      <c r="K616" s="6"/>
      <c r="L616" s="6"/>
    </row>
    <row r="617" spans="10:12" ht="14.4">
      <c r="J617" s="6"/>
      <c r="K617" s="6"/>
      <c r="L617" s="6"/>
    </row>
    <row r="618" spans="10:12" ht="14.4">
      <c r="J618" s="6"/>
      <c r="K618" s="6"/>
      <c r="L618" s="6"/>
    </row>
    <row r="619" spans="10:12" ht="14.4">
      <c r="J619" s="6"/>
      <c r="K619" s="6"/>
      <c r="L619" s="6"/>
    </row>
    <row r="620" spans="10:12" ht="14.4">
      <c r="J620" s="6"/>
      <c r="K620" s="6"/>
      <c r="L620" s="6"/>
    </row>
    <row r="621" spans="10:12" ht="14.4">
      <c r="J621" s="6"/>
      <c r="K621" s="6"/>
      <c r="L621" s="6"/>
    </row>
    <row r="622" spans="10:12" ht="14.4">
      <c r="J622" s="6"/>
      <c r="K622" s="6"/>
      <c r="L622" s="6"/>
    </row>
    <row r="623" spans="10:12" ht="14.4">
      <c r="J623" s="6"/>
      <c r="K623" s="6"/>
      <c r="L623" s="6"/>
    </row>
    <row r="624" spans="10:12" ht="14.4">
      <c r="J624" s="6"/>
      <c r="K624" s="6"/>
      <c r="L624" s="6"/>
    </row>
    <row r="625" spans="10:12" ht="14.4">
      <c r="J625" s="6"/>
      <c r="K625" s="6"/>
      <c r="L625" s="6"/>
    </row>
    <row r="626" spans="10:12" ht="14.4">
      <c r="J626" s="6"/>
      <c r="K626" s="6"/>
      <c r="L626" s="6"/>
    </row>
    <row r="627" spans="10:12" ht="14.4">
      <c r="J627" s="6"/>
      <c r="K627" s="6"/>
      <c r="L627" s="6"/>
    </row>
    <row r="628" spans="10:12" ht="14.4">
      <c r="J628" s="6"/>
      <c r="K628" s="6"/>
      <c r="L628" s="6"/>
    </row>
    <row r="629" spans="10:12" ht="14.4">
      <c r="J629" s="6"/>
      <c r="K629" s="6"/>
      <c r="L629" s="6"/>
    </row>
    <row r="630" spans="10:12" ht="14.4">
      <c r="J630" s="6"/>
      <c r="K630" s="6"/>
      <c r="L630" s="6"/>
    </row>
    <row r="631" spans="10:12" ht="14.4">
      <c r="J631" s="6"/>
      <c r="K631" s="6"/>
      <c r="L631" s="6"/>
    </row>
    <row r="632" spans="10:12" ht="14.4">
      <c r="J632" s="6"/>
      <c r="K632" s="6"/>
      <c r="L632" s="6"/>
    </row>
    <row r="633" spans="10:12" ht="14.4">
      <c r="J633" s="6"/>
      <c r="K633" s="6"/>
      <c r="L633" s="6"/>
    </row>
    <row r="634" spans="10:12" ht="14.4">
      <c r="J634" s="6"/>
      <c r="K634" s="6"/>
      <c r="L634" s="6"/>
    </row>
    <row r="635" spans="10:12" ht="14.4">
      <c r="J635" s="6"/>
      <c r="K635" s="6"/>
      <c r="L635" s="6"/>
    </row>
    <row r="636" spans="10:12" ht="14.4">
      <c r="J636" s="6"/>
      <c r="K636" s="6"/>
      <c r="L636" s="6"/>
    </row>
    <row r="637" spans="10:12" ht="14.4">
      <c r="J637" s="6"/>
      <c r="K637" s="6"/>
      <c r="L637" s="6"/>
    </row>
    <row r="638" spans="10:12" ht="14.4">
      <c r="J638" s="6"/>
      <c r="K638" s="6"/>
      <c r="L638" s="6"/>
    </row>
    <row r="639" spans="10:12" ht="14.4">
      <c r="J639" s="6"/>
      <c r="K639" s="6"/>
      <c r="L639" s="6"/>
    </row>
    <row r="640" spans="10:12" ht="14.4">
      <c r="J640" s="6"/>
      <c r="K640" s="6"/>
      <c r="L640" s="6"/>
    </row>
    <row r="641" spans="10:12" ht="14.4">
      <c r="J641" s="6"/>
      <c r="K641" s="6"/>
      <c r="L641" s="6"/>
    </row>
    <row r="642" spans="10:12" ht="14.4">
      <c r="J642" s="6"/>
      <c r="K642" s="6"/>
      <c r="L642" s="6"/>
    </row>
    <row r="643" spans="10:12" ht="14.4">
      <c r="J643" s="6"/>
      <c r="K643" s="6"/>
      <c r="L643" s="6"/>
    </row>
    <row r="644" spans="10:12" ht="14.4">
      <c r="J644" s="6"/>
      <c r="K644" s="6"/>
      <c r="L644" s="6"/>
    </row>
    <row r="645" spans="10:12" ht="14.4">
      <c r="J645" s="6"/>
      <c r="K645" s="6"/>
      <c r="L645" s="6"/>
    </row>
    <row r="646" spans="10:12" ht="14.4">
      <c r="J646" s="6"/>
      <c r="K646" s="6"/>
      <c r="L646" s="6"/>
    </row>
    <row r="647" spans="10:12" ht="14.4">
      <c r="J647" s="6"/>
      <c r="K647" s="6"/>
      <c r="L647" s="6"/>
    </row>
    <row r="648" spans="10:12" ht="14.4">
      <c r="J648" s="6"/>
      <c r="K648" s="6"/>
      <c r="L648" s="6"/>
    </row>
    <row r="649" spans="10:12" ht="14.4">
      <c r="J649" s="6"/>
      <c r="K649" s="6"/>
      <c r="L649" s="6"/>
    </row>
    <row r="650" spans="10:12" ht="14.4">
      <c r="J650" s="6"/>
      <c r="K650" s="6"/>
      <c r="L650" s="6"/>
    </row>
    <row r="651" spans="10:12" ht="14.4">
      <c r="J651" s="6"/>
      <c r="K651" s="6"/>
      <c r="L651" s="6"/>
    </row>
    <row r="652" spans="10:12" ht="14.4">
      <c r="J652" s="6"/>
      <c r="K652" s="6"/>
      <c r="L652" s="6"/>
    </row>
    <row r="653" spans="10:12" ht="14.4">
      <c r="J653" s="6"/>
      <c r="K653" s="6"/>
      <c r="L653" s="6"/>
    </row>
    <row r="654" spans="10:12" ht="14.4">
      <c r="J654" s="6"/>
      <c r="K654" s="6"/>
      <c r="L654" s="6"/>
    </row>
    <row r="655" spans="10:12" ht="14.4">
      <c r="J655" s="6"/>
      <c r="K655" s="6"/>
      <c r="L655" s="6"/>
    </row>
    <row r="656" spans="10:12" ht="14.4">
      <c r="J656" s="6"/>
      <c r="K656" s="6"/>
      <c r="L656" s="6"/>
    </row>
    <row r="657" spans="10:12" ht="14.4">
      <c r="J657" s="6"/>
      <c r="K657" s="6"/>
      <c r="L657" s="6"/>
    </row>
    <row r="658" spans="10:12" ht="14.4">
      <c r="J658" s="6"/>
      <c r="K658" s="6"/>
      <c r="L658" s="6"/>
    </row>
    <row r="659" spans="10:12" ht="14.4">
      <c r="J659" s="6"/>
      <c r="K659" s="6"/>
      <c r="L659" s="6"/>
    </row>
    <row r="660" spans="10:12" ht="14.4">
      <c r="J660" s="6"/>
      <c r="K660" s="6"/>
      <c r="L660" s="6"/>
    </row>
    <row r="661" spans="10:12" ht="14.4">
      <c r="J661" s="6"/>
      <c r="K661" s="6"/>
      <c r="L661" s="6"/>
    </row>
    <row r="662" spans="10:12" ht="14.4">
      <c r="J662" s="6"/>
      <c r="K662" s="6"/>
      <c r="L662" s="6"/>
    </row>
    <row r="663" spans="10:12" ht="14.4">
      <c r="J663" s="6"/>
      <c r="K663" s="6"/>
      <c r="L663" s="6"/>
    </row>
    <row r="664" spans="10:12" ht="14.4">
      <c r="J664" s="6"/>
      <c r="K664" s="6"/>
      <c r="L664" s="6"/>
    </row>
    <row r="665" spans="10:12" ht="14.4">
      <c r="J665" s="6"/>
      <c r="K665" s="6"/>
      <c r="L665" s="6"/>
    </row>
    <row r="666" spans="10:12" ht="14.4">
      <c r="J666" s="6"/>
      <c r="K666" s="6"/>
      <c r="L666" s="6"/>
    </row>
    <row r="667" spans="10:12" ht="14.4">
      <c r="J667" s="6"/>
      <c r="K667" s="6"/>
      <c r="L667" s="6"/>
    </row>
    <row r="668" spans="10:12" ht="14.4">
      <c r="J668" s="6"/>
      <c r="K668" s="6"/>
      <c r="L668" s="6"/>
    </row>
    <row r="669" spans="10:12" ht="14.4">
      <c r="J669" s="6"/>
      <c r="K669" s="6"/>
      <c r="L669" s="6"/>
    </row>
    <row r="670" spans="10:12" ht="14.4">
      <c r="J670" s="6"/>
      <c r="K670" s="6"/>
      <c r="L670" s="6"/>
    </row>
    <row r="671" spans="10:12" ht="14.4">
      <c r="J671" s="6"/>
      <c r="K671" s="6"/>
      <c r="L671" s="6"/>
    </row>
    <row r="672" spans="10:12" ht="14.4">
      <c r="J672" s="6"/>
      <c r="K672" s="6"/>
      <c r="L672" s="6"/>
    </row>
    <row r="673" spans="10:12" ht="14.4">
      <c r="J673" s="6"/>
      <c r="K673" s="6"/>
      <c r="L673" s="6"/>
    </row>
    <row r="674" spans="10:12" ht="14.4">
      <c r="J674" s="6"/>
      <c r="K674" s="6"/>
      <c r="L674" s="6"/>
    </row>
    <row r="675" spans="10:12" ht="14.4">
      <c r="J675" s="6"/>
      <c r="K675" s="6"/>
      <c r="L675" s="6"/>
    </row>
    <row r="676" spans="10:12" ht="14.4">
      <c r="J676" s="6"/>
      <c r="K676" s="6"/>
      <c r="L676" s="6"/>
    </row>
    <row r="677" spans="10:12" ht="14.4">
      <c r="J677" s="6"/>
      <c r="K677" s="6"/>
      <c r="L677" s="6"/>
    </row>
    <row r="678" spans="10:12" ht="14.4">
      <c r="J678" s="6"/>
      <c r="K678" s="6"/>
      <c r="L678" s="6"/>
    </row>
    <row r="679" spans="10:12" ht="14.4">
      <c r="J679" s="6"/>
      <c r="K679" s="6"/>
      <c r="L679" s="6"/>
    </row>
    <row r="680" spans="10:12" ht="14.4">
      <c r="J680" s="6"/>
      <c r="K680" s="6"/>
      <c r="L680" s="6"/>
    </row>
    <row r="681" spans="10:12" ht="14.4">
      <c r="J681" s="6"/>
      <c r="K681" s="6"/>
      <c r="L681" s="6"/>
    </row>
    <row r="682" spans="10:12" ht="14.4">
      <c r="J682" s="6"/>
      <c r="K682" s="6"/>
      <c r="L682" s="6"/>
    </row>
    <row r="683" spans="10:12" ht="14.4">
      <c r="J683" s="6"/>
      <c r="K683" s="6"/>
      <c r="L683" s="6"/>
    </row>
    <row r="684" spans="10:12" ht="14.4">
      <c r="J684" s="6"/>
      <c r="K684" s="6"/>
      <c r="L684" s="6"/>
    </row>
    <row r="685" spans="10:12" ht="14.4">
      <c r="J685" s="6"/>
      <c r="K685" s="6"/>
      <c r="L685" s="6"/>
    </row>
    <row r="686" spans="10:12" ht="14.4">
      <c r="J686" s="6"/>
      <c r="K686" s="6"/>
      <c r="L686" s="6"/>
    </row>
    <row r="687" spans="10:12" ht="14.4">
      <c r="J687" s="6"/>
      <c r="K687" s="6"/>
      <c r="L687" s="6"/>
    </row>
    <row r="688" spans="10:12" ht="14.4">
      <c r="J688" s="6"/>
      <c r="K688" s="6"/>
      <c r="L688" s="6"/>
    </row>
    <row r="689" spans="10:12" ht="14.4">
      <c r="J689" s="6"/>
      <c r="K689" s="6"/>
      <c r="L689" s="6"/>
    </row>
    <row r="690" spans="10:12" ht="14.4">
      <c r="J690" s="6"/>
      <c r="K690" s="6"/>
      <c r="L690" s="6"/>
    </row>
    <row r="691" spans="10:12" ht="14.4">
      <c r="J691" s="6"/>
      <c r="K691" s="6"/>
      <c r="L691" s="6"/>
    </row>
    <row r="692" spans="10:12" ht="14.4">
      <c r="J692" s="6"/>
      <c r="K692" s="6"/>
      <c r="L692" s="6"/>
    </row>
    <row r="693" spans="10:12" ht="14.4">
      <c r="J693" s="6"/>
      <c r="K693" s="6"/>
      <c r="L693" s="6"/>
    </row>
    <row r="694" spans="10:12" ht="14.4">
      <c r="J694" s="6"/>
      <c r="K694" s="6"/>
      <c r="L694" s="6"/>
    </row>
    <row r="695" spans="10:12" ht="14.4">
      <c r="J695" s="6"/>
      <c r="K695" s="6"/>
      <c r="L695" s="6"/>
    </row>
    <row r="696" spans="10:12" ht="14.4">
      <c r="J696" s="6"/>
      <c r="K696" s="6"/>
      <c r="L696" s="6"/>
    </row>
    <row r="697" spans="10:12" ht="14.4">
      <c r="J697" s="6"/>
      <c r="K697" s="6"/>
      <c r="L697" s="6"/>
    </row>
    <row r="698" spans="10:12" ht="14.4">
      <c r="J698" s="6"/>
      <c r="K698" s="6"/>
      <c r="L698" s="6"/>
    </row>
    <row r="699" spans="10:12" ht="14.4">
      <c r="J699" s="6"/>
      <c r="K699" s="6"/>
      <c r="L699" s="6"/>
    </row>
    <row r="700" spans="10:12" ht="14.4">
      <c r="J700" s="6"/>
      <c r="K700" s="6"/>
      <c r="L700" s="6"/>
    </row>
    <row r="701" spans="10:12" ht="14.4">
      <c r="J701" s="6"/>
      <c r="K701" s="6"/>
      <c r="L701" s="6"/>
    </row>
    <row r="702" spans="10:12" ht="14.4">
      <c r="J702" s="6"/>
      <c r="K702" s="6"/>
      <c r="L702" s="6"/>
    </row>
    <row r="703" spans="10:12" ht="14.4">
      <c r="J703" s="6"/>
      <c r="K703" s="6"/>
      <c r="L703" s="6"/>
    </row>
    <row r="704" spans="10:12" ht="14.4">
      <c r="J704" s="6"/>
      <c r="K704" s="6"/>
      <c r="L704" s="6"/>
    </row>
    <row r="705" spans="10:12" ht="14.4">
      <c r="J705" s="6"/>
      <c r="K705" s="6"/>
      <c r="L705" s="6"/>
    </row>
    <row r="706" spans="10:12" ht="14.4">
      <c r="J706" s="6"/>
      <c r="K706" s="6"/>
      <c r="L706" s="6"/>
    </row>
    <row r="707" spans="10:12" ht="14.4">
      <c r="J707" s="6"/>
      <c r="K707" s="6"/>
      <c r="L707" s="6"/>
    </row>
    <row r="708" spans="10:12" ht="14.4">
      <c r="J708" s="6"/>
      <c r="K708" s="6"/>
      <c r="L708" s="6"/>
    </row>
    <row r="709" spans="10:12" ht="14.4">
      <c r="J709" s="6"/>
      <c r="K709" s="6"/>
      <c r="L709" s="6"/>
    </row>
    <row r="710" spans="10:12" ht="14.4">
      <c r="J710" s="6"/>
      <c r="K710" s="6"/>
      <c r="L710" s="6"/>
    </row>
    <row r="711" spans="10:12" ht="14.4">
      <c r="J711" s="6"/>
      <c r="K711" s="6"/>
      <c r="L711" s="6"/>
    </row>
    <row r="712" spans="10:12" ht="14.4">
      <c r="J712" s="6"/>
      <c r="K712" s="6"/>
      <c r="L712" s="6"/>
    </row>
    <row r="713" spans="10:12" ht="14.4">
      <c r="J713" s="6"/>
      <c r="K713" s="6"/>
      <c r="L713" s="6"/>
    </row>
    <row r="714" spans="10:12" ht="14.4">
      <c r="J714" s="6"/>
      <c r="K714" s="6"/>
      <c r="L714" s="6"/>
    </row>
    <row r="715" spans="10:12" ht="14.4">
      <c r="J715" s="6"/>
      <c r="K715" s="6"/>
      <c r="L715" s="6"/>
    </row>
    <row r="716" spans="10:12" ht="14.4">
      <c r="J716" s="6"/>
      <c r="K716" s="6"/>
      <c r="L716" s="6"/>
    </row>
    <row r="717" spans="10:12" ht="14.4">
      <c r="J717" s="6"/>
      <c r="K717" s="6"/>
      <c r="L717" s="6"/>
    </row>
    <row r="718" spans="10:12" ht="14.4">
      <c r="J718" s="6"/>
      <c r="K718" s="6"/>
      <c r="L718" s="6"/>
    </row>
    <row r="719" spans="10:12" ht="14.4">
      <c r="J719" s="6"/>
      <c r="K719" s="6"/>
      <c r="L719" s="6"/>
    </row>
    <row r="720" spans="10:12" ht="14.4">
      <c r="J720" s="6"/>
      <c r="K720" s="6"/>
      <c r="L720" s="6"/>
    </row>
    <row r="721" spans="10:12" ht="14.4">
      <c r="J721" s="6"/>
      <c r="K721" s="6"/>
      <c r="L721" s="6"/>
    </row>
    <row r="722" spans="10:12" ht="14.4">
      <c r="J722" s="6"/>
      <c r="K722" s="6"/>
      <c r="L722" s="6"/>
    </row>
    <row r="723" spans="10:12" ht="14.4">
      <c r="J723" s="6"/>
      <c r="K723" s="6"/>
      <c r="L723" s="6"/>
    </row>
    <row r="724" spans="10:12" ht="14.4">
      <c r="J724" s="6"/>
      <c r="K724" s="6"/>
      <c r="L724" s="6"/>
    </row>
    <row r="725" spans="10:12" ht="14.4">
      <c r="J725" s="6"/>
      <c r="K725" s="6"/>
      <c r="L725" s="6"/>
    </row>
    <row r="726" spans="10:12" ht="14.4">
      <c r="J726" s="6"/>
      <c r="K726" s="6"/>
      <c r="L726" s="6"/>
    </row>
    <row r="727" spans="10:12" ht="14.4">
      <c r="J727" s="6"/>
      <c r="K727" s="6"/>
      <c r="L727" s="6"/>
    </row>
    <row r="728" spans="10:12" ht="14.4">
      <c r="J728" s="6"/>
      <c r="K728" s="6"/>
      <c r="L728" s="6"/>
    </row>
    <row r="729" spans="10:12" ht="14.4">
      <c r="J729" s="6"/>
      <c r="K729" s="6"/>
      <c r="L729" s="6"/>
    </row>
    <row r="730" spans="10:12" ht="14.4">
      <c r="J730" s="6"/>
      <c r="K730" s="6"/>
      <c r="L730" s="6"/>
    </row>
    <row r="731" spans="10:12" ht="14.4">
      <c r="J731" s="6"/>
      <c r="K731" s="6"/>
      <c r="L731" s="6"/>
    </row>
    <row r="732" spans="10:12" ht="14.4">
      <c r="J732" s="6"/>
      <c r="K732" s="6"/>
      <c r="L732" s="6"/>
    </row>
    <row r="733" spans="10:12" ht="14.4">
      <c r="J733" s="6"/>
      <c r="K733" s="6"/>
      <c r="L733" s="6"/>
    </row>
    <row r="734" spans="10:12" ht="14.4">
      <c r="J734" s="6"/>
      <c r="K734" s="6"/>
      <c r="L734" s="6"/>
    </row>
    <row r="735" spans="10:12" ht="14.4">
      <c r="J735" s="6"/>
      <c r="K735" s="6"/>
      <c r="L735" s="6"/>
    </row>
    <row r="736" spans="10:12" ht="14.4">
      <c r="J736" s="6"/>
      <c r="K736" s="6"/>
      <c r="L736" s="6"/>
    </row>
    <row r="737" spans="10:12" ht="14.4">
      <c r="J737" s="6"/>
      <c r="K737" s="6"/>
      <c r="L737" s="6"/>
    </row>
    <row r="738" spans="10:12" ht="14.4">
      <c r="J738" s="6"/>
      <c r="K738" s="6"/>
      <c r="L738" s="6"/>
    </row>
    <row r="739" spans="10:12" ht="14.4">
      <c r="J739" s="6"/>
      <c r="K739" s="6"/>
      <c r="L739" s="6"/>
    </row>
    <row r="740" spans="10:12" ht="14.4">
      <c r="J740" s="6"/>
      <c r="K740" s="6"/>
      <c r="L740" s="6"/>
    </row>
    <row r="741" spans="10:12" ht="14.4">
      <c r="J741" s="6"/>
      <c r="K741" s="6"/>
      <c r="L741" s="6"/>
    </row>
    <row r="742" spans="10:12" ht="14.4">
      <c r="J742" s="6"/>
      <c r="K742" s="6"/>
      <c r="L742" s="6"/>
    </row>
    <row r="743" spans="10:12" ht="14.4">
      <c r="J743" s="6"/>
      <c r="K743" s="6"/>
      <c r="L743" s="6"/>
    </row>
    <row r="744" spans="10:12" ht="14.4">
      <c r="J744" s="6"/>
      <c r="K744" s="6"/>
      <c r="L744" s="6"/>
    </row>
    <row r="745" spans="10:12" ht="14.4">
      <c r="J745" s="6"/>
      <c r="K745" s="6"/>
      <c r="L745" s="6"/>
    </row>
    <row r="746" spans="10:12" ht="14.4">
      <c r="J746" s="6"/>
      <c r="K746" s="6"/>
      <c r="L746" s="6"/>
    </row>
    <row r="747" spans="10:12" ht="14.4">
      <c r="J747" s="6"/>
      <c r="K747" s="6"/>
      <c r="L747" s="6"/>
    </row>
    <row r="748" spans="10:12" ht="14.4">
      <c r="J748" s="6"/>
      <c r="K748" s="6"/>
      <c r="L748" s="6"/>
    </row>
    <row r="749" spans="10:12" ht="14.4">
      <c r="J749" s="6"/>
      <c r="K749" s="6"/>
      <c r="L749" s="6"/>
    </row>
    <row r="750" spans="10:12" ht="14.4">
      <c r="J750" s="6"/>
      <c r="K750" s="6"/>
      <c r="L750" s="6"/>
    </row>
    <row r="751" spans="10:12" ht="14.4">
      <c r="J751" s="6"/>
      <c r="K751" s="6"/>
      <c r="L751" s="6"/>
    </row>
    <row r="752" spans="10:12" ht="14.4">
      <c r="J752" s="6"/>
      <c r="K752" s="6"/>
      <c r="L752" s="6"/>
    </row>
    <row r="753" spans="10:12" ht="14.4">
      <c r="J753" s="6"/>
      <c r="K753" s="6"/>
      <c r="L753" s="6"/>
    </row>
    <row r="754" spans="10:12" ht="14.4">
      <c r="J754" s="6"/>
      <c r="K754" s="6"/>
      <c r="L754" s="6"/>
    </row>
    <row r="755" spans="10:12" ht="14.4">
      <c r="J755" s="6"/>
      <c r="K755" s="6"/>
      <c r="L755" s="6"/>
    </row>
    <row r="756" spans="10:12" ht="14.4">
      <c r="J756" s="6"/>
      <c r="K756" s="6"/>
      <c r="L756" s="6"/>
    </row>
    <row r="757" spans="10:12" ht="14.4">
      <c r="J757" s="6"/>
      <c r="K757" s="6"/>
      <c r="L757" s="6"/>
    </row>
    <row r="758" spans="10:12" ht="14.4">
      <c r="J758" s="6"/>
      <c r="K758" s="6"/>
      <c r="L758" s="6"/>
    </row>
    <row r="759" spans="10:12" ht="14.4">
      <c r="J759" s="6"/>
      <c r="K759" s="6"/>
      <c r="L759" s="6"/>
    </row>
    <row r="760" spans="10:12" ht="14.4">
      <c r="J760" s="6"/>
      <c r="K760" s="6"/>
      <c r="L760" s="6"/>
    </row>
    <row r="761" spans="10:12" ht="14.4">
      <c r="J761" s="6"/>
      <c r="K761" s="6"/>
      <c r="L761" s="6"/>
    </row>
    <row r="762" spans="10:12" ht="14.4">
      <c r="J762" s="6"/>
      <c r="K762" s="6"/>
      <c r="L762" s="6"/>
    </row>
    <row r="763" spans="10:12" ht="14.4">
      <c r="J763" s="6"/>
      <c r="K763" s="6"/>
      <c r="L763" s="6"/>
    </row>
    <row r="764" spans="10:12" ht="14.4">
      <c r="J764" s="6"/>
      <c r="K764" s="6"/>
      <c r="L764" s="6"/>
    </row>
    <row r="765" spans="10:12" ht="14.4">
      <c r="J765" s="6"/>
      <c r="K765" s="6"/>
      <c r="L765" s="6"/>
    </row>
    <row r="766" spans="10:12" ht="14.4">
      <c r="J766" s="6"/>
      <c r="K766" s="6"/>
      <c r="L766" s="6"/>
    </row>
    <row r="767" spans="10:12" ht="14.4">
      <c r="J767" s="6"/>
      <c r="K767" s="6"/>
      <c r="L767" s="6"/>
    </row>
    <row r="768" spans="10:12" ht="14.4">
      <c r="J768" s="6"/>
      <c r="K768" s="6"/>
      <c r="L768" s="6"/>
    </row>
    <row r="769" spans="10:12" ht="14.4">
      <c r="J769" s="6"/>
      <c r="K769" s="6"/>
      <c r="L769" s="6"/>
    </row>
    <row r="770" spans="10:12" ht="14.4">
      <c r="J770" s="6"/>
      <c r="K770" s="6"/>
      <c r="L770" s="6"/>
    </row>
    <row r="771" spans="10:12" ht="14.4">
      <c r="J771" s="6"/>
      <c r="K771" s="6"/>
      <c r="L771" s="6"/>
    </row>
    <row r="772" spans="10:12" ht="14.4">
      <c r="J772" s="6"/>
      <c r="K772" s="6"/>
      <c r="L772" s="6"/>
    </row>
    <row r="773" spans="10:12" ht="14.4">
      <c r="J773" s="6"/>
      <c r="K773" s="6"/>
      <c r="L773" s="6"/>
    </row>
    <row r="774" spans="10:12" ht="14.4">
      <c r="J774" s="6"/>
      <c r="K774" s="6"/>
      <c r="L774" s="6"/>
    </row>
    <row r="775" spans="10:12" ht="14.4">
      <c r="J775" s="6"/>
      <c r="K775" s="6"/>
      <c r="L775" s="6"/>
    </row>
    <row r="776" spans="10:12" ht="14.4">
      <c r="J776" s="6"/>
      <c r="K776" s="6"/>
      <c r="L776" s="6"/>
    </row>
    <row r="777" spans="10:12" ht="14.4">
      <c r="J777" s="6"/>
      <c r="K777" s="6"/>
      <c r="L777" s="6"/>
    </row>
    <row r="778" spans="10:12" ht="14.4">
      <c r="J778" s="6"/>
      <c r="K778" s="6"/>
      <c r="L778" s="6"/>
    </row>
    <row r="779" spans="10:12" ht="14.4">
      <c r="J779" s="6"/>
      <c r="K779" s="6"/>
      <c r="L779" s="6"/>
    </row>
    <row r="780" spans="10:12" ht="14.4">
      <c r="J780" s="6"/>
      <c r="K780" s="6"/>
      <c r="L780" s="6"/>
    </row>
    <row r="781" spans="10:12" ht="14.4">
      <c r="J781" s="6"/>
      <c r="K781" s="6"/>
      <c r="L781" s="6"/>
    </row>
    <row r="782" spans="10:12" ht="14.4">
      <c r="J782" s="6"/>
      <c r="K782" s="6"/>
      <c r="L782" s="6"/>
    </row>
    <row r="783" spans="10:12" ht="14.4">
      <c r="J783" s="6"/>
      <c r="K783" s="6"/>
      <c r="L783" s="6"/>
    </row>
    <row r="784" spans="10:12" ht="14.4">
      <c r="J784" s="6"/>
      <c r="K784" s="6"/>
      <c r="L784" s="6"/>
    </row>
    <row r="785" spans="10:12" ht="14.4">
      <c r="J785" s="6"/>
      <c r="K785" s="6"/>
      <c r="L785" s="6"/>
    </row>
    <row r="786" spans="10:12" ht="14.4">
      <c r="J786" s="6"/>
      <c r="K786" s="6"/>
      <c r="L786" s="6"/>
    </row>
    <row r="787" spans="10:12" ht="14.4">
      <c r="J787" s="6"/>
      <c r="K787" s="6"/>
      <c r="L787" s="6"/>
    </row>
    <row r="788" spans="10:12" ht="14.4">
      <c r="J788" s="6"/>
      <c r="K788" s="6"/>
      <c r="L788" s="6"/>
    </row>
    <row r="789" spans="10:12" ht="14.4">
      <c r="J789" s="6"/>
      <c r="K789" s="6"/>
      <c r="L789" s="6"/>
    </row>
    <row r="790" spans="10:12" ht="14.4">
      <c r="J790" s="6"/>
      <c r="K790" s="6"/>
      <c r="L790" s="6"/>
    </row>
    <row r="791" spans="10:12" ht="14.4">
      <c r="J791" s="6"/>
      <c r="K791" s="6"/>
      <c r="L791" s="6"/>
    </row>
    <row r="792" spans="10:12" ht="14.4">
      <c r="J792" s="6"/>
      <c r="K792" s="6"/>
      <c r="L792" s="6"/>
    </row>
    <row r="793" spans="10:12" ht="14.4">
      <c r="J793" s="6"/>
      <c r="K793" s="6"/>
      <c r="L793" s="6"/>
    </row>
    <row r="794" spans="10:12" ht="14.4">
      <c r="J794" s="6"/>
      <c r="K794" s="6"/>
      <c r="L794" s="6"/>
    </row>
    <row r="795" spans="10:12" ht="14.4">
      <c r="J795" s="6"/>
      <c r="K795" s="6"/>
      <c r="L795" s="6"/>
    </row>
    <row r="796" spans="10:12" ht="14.4">
      <c r="J796" s="6"/>
      <c r="K796" s="6"/>
      <c r="L796" s="6"/>
    </row>
    <row r="797" spans="10:12" ht="14.4">
      <c r="J797" s="6"/>
      <c r="K797" s="6"/>
      <c r="L797" s="6"/>
    </row>
    <row r="798" spans="10:12" ht="14.4">
      <c r="J798" s="6"/>
      <c r="K798" s="6"/>
      <c r="L798" s="6"/>
    </row>
    <row r="799" spans="10:12" ht="14.4">
      <c r="J799" s="6"/>
      <c r="K799" s="6"/>
      <c r="L799" s="6"/>
    </row>
    <row r="800" spans="10:12" ht="14.4">
      <c r="J800" s="6"/>
      <c r="K800" s="6"/>
      <c r="L800" s="6"/>
    </row>
    <row r="801" spans="10:12" ht="14.4">
      <c r="J801" s="6"/>
      <c r="K801" s="6"/>
      <c r="L801" s="6"/>
    </row>
    <row r="802" spans="10:12" ht="14.4">
      <c r="J802" s="6"/>
      <c r="K802" s="6"/>
      <c r="L802" s="6"/>
    </row>
    <row r="803" spans="10:12" ht="14.4">
      <c r="J803" s="6"/>
      <c r="K803" s="6"/>
      <c r="L803" s="6"/>
    </row>
    <row r="804" spans="10:12" ht="14.4">
      <c r="J804" s="6"/>
      <c r="K804" s="6"/>
      <c r="L804" s="6"/>
    </row>
    <row r="805" spans="10:12" ht="14.4">
      <c r="J805" s="6"/>
      <c r="K805" s="6"/>
      <c r="L805" s="6"/>
    </row>
    <row r="806" spans="10:12" ht="14.4">
      <c r="J806" s="6"/>
      <c r="K806" s="6"/>
      <c r="L806" s="6"/>
    </row>
    <row r="807" spans="10:12" ht="14.4">
      <c r="J807" s="6"/>
      <c r="K807" s="6"/>
      <c r="L807" s="6"/>
    </row>
    <row r="808" spans="10:12" ht="14.4">
      <c r="J808" s="6"/>
      <c r="K808" s="6"/>
      <c r="L808" s="6"/>
    </row>
    <row r="809" spans="10:12" ht="14.4">
      <c r="J809" s="6"/>
      <c r="K809" s="6"/>
      <c r="L809" s="6"/>
    </row>
    <row r="810" spans="10:12" ht="14.4">
      <c r="J810" s="6"/>
      <c r="K810" s="6"/>
      <c r="L810" s="6"/>
    </row>
    <row r="811" spans="10:12" ht="14.4">
      <c r="J811" s="6"/>
      <c r="K811" s="6"/>
      <c r="L811" s="6"/>
    </row>
    <row r="812" spans="10:12" ht="14.4">
      <c r="J812" s="6"/>
      <c r="K812" s="6"/>
      <c r="L812" s="6"/>
    </row>
    <row r="813" spans="10:12" ht="14.4">
      <c r="J813" s="6"/>
      <c r="K813" s="6"/>
      <c r="L813" s="6"/>
    </row>
    <row r="814" spans="10:12" ht="14.4">
      <c r="J814" s="6"/>
      <c r="K814" s="6"/>
      <c r="L814" s="6"/>
    </row>
    <row r="815" spans="10:12" ht="14.4">
      <c r="J815" s="6"/>
      <c r="K815" s="6"/>
      <c r="L815" s="6"/>
    </row>
    <row r="816" spans="10:12" ht="14.4">
      <c r="J816" s="6"/>
      <c r="K816" s="6"/>
      <c r="L816" s="6"/>
    </row>
    <row r="817" spans="10:12" ht="14.4">
      <c r="J817" s="6"/>
      <c r="K817" s="6"/>
      <c r="L817" s="6"/>
    </row>
    <row r="818" spans="10:12" ht="14.4">
      <c r="J818" s="6"/>
      <c r="K818" s="6"/>
      <c r="L818" s="6"/>
    </row>
    <row r="819" spans="10:12" ht="14.4">
      <c r="J819" s="6"/>
      <c r="K819" s="6"/>
      <c r="L819" s="6"/>
    </row>
    <row r="820" spans="10:12" ht="14.4">
      <c r="J820" s="6"/>
      <c r="K820" s="6"/>
      <c r="L820" s="6"/>
    </row>
    <row r="821" spans="10:12" ht="14.4">
      <c r="J821" s="6"/>
      <c r="K821" s="6"/>
      <c r="L821" s="6"/>
    </row>
    <row r="822" spans="10:12" ht="14.4">
      <c r="J822" s="6"/>
      <c r="K822" s="6"/>
      <c r="L822" s="6"/>
    </row>
    <row r="823" spans="10:12" ht="14.4">
      <c r="J823" s="6"/>
      <c r="K823" s="6"/>
      <c r="L823" s="6"/>
    </row>
    <row r="824" spans="10:12" ht="14.4">
      <c r="J824" s="6"/>
      <c r="K824" s="6"/>
      <c r="L824" s="6"/>
    </row>
    <row r="825" spans="10:12" ht="14.4">
      <c r="J825" s="6"/>
      <c r="K825" s="6"/>
      <c r="L825" s="6"/>
    </row>
    <row r="826" spans="10:12" ht="14.4">
      <c r="J826" s="6"/>
      <c r="K826" s="6"/>
      <c r="L826" s="6"/>
    </row>
    <row r="827" spans="10:12" ht="14.4">
      <c r="J827" s="6"/>
      <c r="K827" s="6"/>
      <c r="L827" s="6"/>
    </row>
    <row r="828" spans="10:12" ht="14.4">
      <c r="J828" s="6"/>
      <c r="K828" s="6"/>
      <c r="L828" s="6"/>
    </row>
    <row r="829" spans="10:12" ht="14.4">
      <c r="J829" s="6"/>
      <c r="K829" s="6"/>
      <c r="L829" s="6"/>
    </row>
    <row r="830" spans="10:12" ht="14.4">
      <c r="J830" s="6"/>
      <c r="K830" s="6"/>
      <c r="L830" s="6"/>
    </row>
    <row r="831" spans="10:12" ht="14.4">
      <c r="J831" s="6"/>
      <c r="K831" s="6"/>
      <c r="L831" s="6"/>
    </row>
    <row r="832" spans="10:12" ht="14.4">
      <c r="J832" s="6"/>
      <c r="K832" s="6"/>
      <c r="L832" s="6"/>
    </row>
    <row r="833" spans="10:12" ht="14.4">
      <c r="J833" s="6"/>
      <c r="K833" s="6"/>
      <c r="L833" s="6"/>
    </row>
    <row r="834" spans="10:12" ht="14.4">
      <c r="J834" s="6"/>
      <c r="K834" s="6"/>
      <c r="L834" s="6"/>
    </row>
    <row r="835" spans="10:12" ht="14.4">
      <c r="J835" s="6"/>
      <c r="K835" s="6"/>
      <c r="L835" s="6"/>
    </row>
    <row r="836" spans="10:12" ht="14.4">
      <c r="J836" s="6"/>
      <c r="K836" s="6"/>
      <c r="L836" s="6"/>
    </row>
    <row r="837" spans="10:12" ht="14.4">
      <c r="J837" s="6"/>
      <c r="K837" s="6"/>
      <c r="L837" s="6"/>
    </row>
    <row r="838" spans="10:12" ht="14.4">
      <c r="J838" s="6"/>
      <c r="K838" s="6"/>
      <c r="L838" s="6"/>
    </row>
    <row r="839" spans="10:12" ht="14.4">
      <c r="J839" s="6"/>
      <c r="K839" s="6"/>
      <c r="L839" s="6"/>
    </row>
    <row r="840" spans="10:12" ht="14.4">
      <c r="J840" s="6"/>
      <c r="K840" s="6"/>
      <c r="L840" s="6"/>
    </row>
    <row r="841" spans="10:12" ht="14.4">
      <c r="J841" s="6"/>
      <c r="K841" s="6"/>
      <c r="L841" s="6"/>
    </row>
    <row r="842" spans="10:12" ht="14.4">
      <c r="J842" s="6"/>
      <c r="K842" s="6"/>
      <c r="L842" s="6"/>
    </row>
    <row r="843" spans="10:12" ht="14.4">
      <c r="J843" s="6"/>
      <c r="K843" s="6"/>
      <c r="L843" s="6"/>
    </row>
    <row r="844" spans="10:12" ht="14.4">
      <c r="J844" s="6"/>
      <c r="K844" s="6"/>
      <c r="L844" s="6"/>
    </row>
    <row r="845" spans="10:12" ht="14.4">
      <c r="J845" s="6"/>
      <c r="K845" s="6"/>
      <c r="L845" s="6"/>
    </row>
    <row r="846" spans="10:12" ht="14.4">
      <c r="J846" s="6"/>
      <c r="K846" s="6"/>
      <c r="L846" s="6"/>
    </row>
    <row r="847" spans="10:12" ht="14.4">
      <c r="J847" s="6"/>
      <c r="K847" s="6"/>
      <c r="L847" s="6"/>
    </row>
    <row r="848" spans="10:12" ht="14.4">
      <c r="J848" s="6"/>
      <c r="K848" s="6"/>
      <c r="L848" s="6"/>
    </row>
    <row r="849" spans="10:12" ht="14.4">
      <c r="J849" s="6"/>
      <c r="K849" s="6"/>
      <c r="L849" s="6"/>
    </row>
    <row r="850" spans="10:12" ht="14.4">
      <c r="J850" s="6"/>
      <c r="K850" s="6"/>
      <c r="L850" s="6"/>
    </row>
    <row r="851" spans="10:12" ht="14.4">
      <c r="J851" s="6"/>
      <c r="K851" s="6"/>
      <c r="L851" s="6"/>
    </row>
    <row r="852" spans="10:12" ht="14.4">
      <c r="J852" s="6"/>
      <c r="K852" s="6"/>
      <c r="L852" s="6"/>
    </row>
    <row r="853" spans="10:12" ht="14.4">
      <c r="J853" s="6"/>
      <c r="K853" s="6"/>
      <c r="L853" s="6"/>
    </row>
    <row r="854" spans="10:12" ht="14.4">
      <c r="J854" s="6"/>
      <c r="K854" s="6"/>
      <c r="L854" s="6"/>
    </row>
    <row r="855" spans="10:12" ht="14.4">
      <c r="J855" s="6"/>
      <c r="K855" s="6"/>
      <c r="L855" s="6"/>
    </row>
    <row r="856" spans="10:12" ht="14.4">
      <c r="J856" s="6"/>
      <c r="K856" s="6"/>
      <c r="L856" s="6"/>
    </row>
    <row r="857" spans="10:12" ht="14.4">
      <c r="J857" s="6"/>
      <c r="K857" s="6"/>
      <c r="L857" s="6"/>
    </row>
    <row r="858" spans="10:12" ht="14.4">
      <c r="J858" s="6"/>
      <c r="K858" s="6"/>
      <c r="L858" s="6"/>
    </row>
    <row r="859" spans="10:12" ht="14.4">
      <c r="J859" s="6"/>
      <c r="K859" s="6"/>
      <c r="L859" s="6"/>
    </row>
    <row r="860" spans="10:12" ht="14.4">
      <c r="J860" s="6"/>
      <c r="K860" s="6"/>
      <c r="L860" s="6"/>
    </row>
    <row r="861" spans="10:12" ht="14.4">
      <c r="J861" s="6"/>
      <c r="K861" s="6"/>
      <c r="L861" s="6"/>
    </row>
    <row r="862" spans="10:12" ht="14.4">
      <c r="J862" s="6"/>
      <c r="K862" s="6"/>
      <c r="L862" s="6"/>
    </row>
    <row r="863" spans="10:12" ht="14.4">
      <c r="J863" s="6"/>
      <c r="K863" s="6"/>
      <c r="L863" s="6"/>
    </row>
    <row r="864" spans="10:12" ht="14.4">
      <c r="J864" s="6"/>
      <c r="K864" s="6"/>
      <c r="L864" s="6"/>
    </row>
    <row r="865" spans="10:12" ht="14.4">
      <c r="J865" s="6"/>
      <c r="K865" s="6"/>
      <c r="L865" s="6"/>
    </row>
    <row r="866" spans="10:12" ht="14.4">
      <c r="J866" s="6"/>
      <c r="K866" s="6"/>
      <c r="L866" s="6"/>
    </row>
    <row r="867" spans="10:12" ht="14.4">
      <c r="J867" s="6"/>
      <c r="K867" s="6"/>
      <c r="L867" s="6"/>
    </row>
    <row r="868" spans="10:12" ht="14.4">
      <c r="J868" s="6"/>
      <c r="K868" s="6"/>
      <c r="L868" s="6"/>
    </row>
    <row r="869" spans="10:12" ht="14.4">
      <c r="J869" s="6"/>
      <c r="K869" s="6"/>
      <c r="L869" s="6"/>
    </row>
    <row r="870" spans="10:12" ht="14.4">
      <c r="J870" s="6"/>
      <c r="K870" s="6"/>
      <c r="L870" s="6"/>
    </row>
    <row r="871" spans="10:12" ht="14.4">
      <c r="J871" s="6"/>
      <c r="K871" s="6"/>
      <c r="L871" s="6"/>
    </row>
    <row r="872" spans="10:12" ht="14.4">
      <c r="J872" s="6"/>
      <c r="K872" s="6"/>
      <c r="L872" s="6"/>
    </row>
    <row r="873" spans="10:12" ht="14.4">
      <c r="J873" s="6"/>
      <c r="K873" s="6"/>
      <c r="L873" s="6"/>
    </row>
    <row r="874" spans="10:12" ht="14.4">
      <c r="J874" s="6"/>
      <c r="K874" s="6"/>
      <c r="L874" s="6"/>
    </row>
    <row r="875" spans="10:12" ht="14.4">
      <c r="J875" s="6"/>
      <c r="K875" s="6"/>
      <c r="L875" s="6"/>
    </row>
    <row r="876" spans="10:12" ht="14.4">
      <c r="J876" s="6"/>
      <c r="K876" s="6"/>
      <c r="L876" s="6"/>
    </row>
    <row r="877" spans="10:12" ht="14.4">
      <c r="J877" s="6"/>
      <c r="K877" s="6"/>
      <c r="L877" s="6"/>
    </row>
    <row r="878" spans="10:12" ht="14.4">
      <c r="J878" s="6"/>
      <c r="K878" s="6"/>
      <c r="L878" s="6"/>
    </row>
    <row r="879" spans="10:12" ht="14.4">
      <c r="J879" s="6"/>
      <c r="K879" s="6"/>
      <c r="L879" s="6"/>
    </row>
    <row r="880" spans="10:12" ht="14.4">
      <c r="J880" s="6"/>
      <c r="K880" s="6"/>
      <c r="L880" s="6"/>
    </row>
    <row r="881" spans="10:12" ht="14.4">
      <c r="J881" s="6"/>
      <c r="K881" s="6"/>
      <c r="L881" s="6"/>
    </row>
    <row r="882" spans="10:12" ht="14.4">
      <c r="J882" s="6"/>
      <c r="K882" s="6"/>
      <c r="L882" s="6"/>
    </row>
    <row r="883" spans="10:12" ht="14.4">
      <c r="J883" s="6"/>
      <c r="K883" s="6"/>
      <c r="L883" s="6"/>
    </row>
    <row r="884" spans="10:12" ht="14.4">
      <c r="J884" s="6"/>
      <c r="K884" s="6"/>
      <c r="L884" s="6"/>
    </row>
    <row r="885" spans="10:12" ht="14.4">
      <c r="J885" s="6"/>
      <c r="K885" s="6"/>
      <c r="L885" s="6"/>
    </row>
    <row r="886" spans="10:12" ht="14.4">
      <c r="J886" s="6"/>
      <c r="K886" s="6"/>
      <c r="L886" s="6"/>
    </row>
    <row r="887" spans="10:12" ht="14.4">
      <c r="J887" s="6"/>
      <c r="K887" s="6"/>
      <c r="L887" s="6"/>
    </row>
    <row r="888" spans="10:12" ht="14.4">
      <c r="J888" s="6"/>
      <c r="K888" s="6"/>
      <c r="L888" s="6"/>
    </row>
    <row r="889" spans="10:12" ht="14.4">
      <c r="J889" s="6"/>
      <c r="K889" s="6"/>
      <c r="L889" s="6"/>
    </row>
    <row r="890" spans="10:12" ht="14.4">
      <c r="J890" s="6"/>
      <c r="K890" s="6"/>
      <c r="L890" s="6"/>
    </row>
    <row r="891" spans="10:12" ht="14.4">
      <c r="J891" s="6"/>
      <c r="K891" s="6"/>
      <c r="L891" s="6"/>
    </row>
    <row r="892" spans="10:12" ht="14.4">
      <c r="J892" s="6"/>
      <c r="K892" s="6"/>
      <c r="L892" s="6"/>
    </row>
    <row r="893" spans="10:12" ht="14.4">
      <c r="J893" s="6"/>
      <c r="K893" s="6"/>
      <c r="L893" s="6"/>
    </row>
    <row r="894" spans="10:12" ht="14.4">
      <c r="J894" s="6"/>
      <c r="K894" s="6"/>
      <c r="L894" s="6"/>
    </row>
    <row r="895" spans="10:12" ht="14.4">
      <c r="J895" s="6"/>
      <c r="K895" s="6"/>
      <c r="L895" s="6"/>
    </row>
    <row r="896" spans="10:12" ht="14.4">
      <c r="J896" s="6"/>
      <c r="K896" s="6"/>
      <c r="L896" s="6"/>
    </row>
    <row r="897" spans="10:12" ht="14.4">
      <c r="J897" s="6"/>
      <c r="K897" s="6"/>
      <c r="L897" s="6"/>
    </row>
    <row r="898" spans="10:12" ht="14.4">
      <c r="J898" s="6"/>
      <c r="K898" s="6"/>
      <c r="L898" s="6"/>
    </row>
    <row r="899" spans="10:12" ht="14.4">
      <c r="J899" s="6"/>
      <c r="K899" s="6"/>
      <c r="L899" s="6"/>
    </row>
    <row r="900" spans="10:12" ht="14.4">
      <c r="J900" s="6"/>
      <c r="K900" s="6"/>
      <c r="L900" s="6"/>
    </row>
    <row r="901" spans="10:12" ht="14.4">
      <c r="J901" s="6"/>
      <c r="K901" s="6"/>
      <c r="L901" s="6"/>
    </row>
    <row r="902" spans="10:12" ht="14.4">
      <c r="J902" s="6"/>
      <c r="K902" s="6"/>
      <c r="L902" s="6"/>
    </row>
    <row r="903" spans="10:12" ht="14.4">
      <c r="J903" s="6"/>
      <c r="K903" s="6"/>
      <c r="L903" s="6"/>
    </row>
    <row r="904" spans="10:12" ht="14.4">
      <c r="J904" s="6"/>
      <c r="K904" s="6"/>
      <c r="L904" s="6"/>
    </row>
    <row r="905" spans="10:12" ht="14.4">
      <c r="J905" s="6"/>
      <c r="K905" s="6"/>
      <c r="L905" s="6"/>
    </row>
    <row r="906" spans="10:12" ht="14.4">
      <c r="J906" s="6"/>
      <c r="K906" s="6"/>
      <c r="L906" s="6"/>
    </row>
    <row r="907" spans="10:12" ht="14.4">
      <c r="J907" s="6"/>
      <c r="K907" s="6"/>
      <c r="L907" s="6"/>
    </row>
    <row r="908" spans="10:12" ht="14.4">
      <c r="J908" s="6"/>
      <c r="K908" s="6"/>
      <c r="L908" s="6"/>
    </row>
    <row r="909" spans="10:12" ht="14.4">
      <c r="J909" s="6"/>
      <c r="K909" s="6"/>
      <c r="L909" s="6"/>
    </row>
    <row r="910" spans="10:12" ht="14.4">
      <c r="J910" s="6"/>
      <c r="K910" s="6"/>
      <c r="L910" s="6"/>
    </row>
    <row r="911" spans="10:12" ht="14.4">
      <c r="J911" s="6"/>
      <c r="K911" s="6"/>
      <c r="L911" s="6"/>
    </row>
    <row r="912" spans="10:12" ht="14.4">
      <c r="J912" s="6"/>
      <c r="K912" s="6"/>
      <c r="L912" s="6"/>
    </row>
    <row r="913" spans="10:12" ht="14.4">
      <c r="J913" s="6"/>
      <c r="K913" s="6"/>
      <c r="L913" s="6"/>
    </row>
    <row r="914" spans="10:12" ht="14.4">
      <c r="J914" s="6"/>
      <c r="K914" s="6"/>
      <c r="L914" s="6"/>
    </row>
    <row r="915" spans="10:12" ht="14.4">
      <c r="J915" s="6"/>
      <c r="K915" s="6"/>
      <c r="L915" s="6"/>
    </row>
    <row r="916" spans="10:12" ht="14.4">
      <c r="J916" s="6"/>
      <c r="K916" s="6"/>
      <c r="L916" s="6"/>
    </row>
    <row r="917" spans="10:12" ht="14.4">
      <c r="J917" s="6"/>
      <c r="K917" s="6"/>
      <c r="L917" s="6"/>
    </row>
    <row r="918" spans="10:12" ht="14.4">
      <c r="J918" s="6"/>
      <c r="K918" s="6"/>
      <c r="L918" s="6"/>
    </row>
    <row r="919" spans="10:12" ht="14.4">
      <c r="J919" s="6"/>
      <c r="K919" s="6"/>
      <c r="L919" s="6"/>
    </row>
    <row r="920" spans="10:12" ht="14.4">
      <c r="J920" s="6"/>
      <c r="K920" s="6"/>
      <c r="L920" s="6"/>
    </row>
    <row r="921" spans="10:12" ht="14.4">
      <c r="J921" s="6"/>
      <c r="K921" s="6"/>
      <c r="L921" s="6"/>
    </row>
    <row r="922" spans="10:12" ht="14.4">
      <c r="J922" s="6"/>
      <c r="K922" s="6"/>
      <c r="L922" s="6"/>
    </row>
    <row r="923" spans="10:12" ht="14.4">
      <c r="J923" s="6"/>
      <c r="K923" s="6"/>
      <c r="L923" s="6"/>
    </row>
    <row r="924" spans="10:12" ht="14.4">
      <c r="J924" s="6"/>
      <c r="K924" s="6"/>
      <c r="L924" s="6"/>
    </row>
    <row r="925" spans="10:12" ht="14.4">
      <c r="J925" s="6"/>
      <c r="K925" s="6"/>
      <c r="L925" s="6"/>
    </row>
    <row r="926" spans="10:12" ht="14.4">
      <c r="J926" s="6"/>
      <c r="K926" s="6"/>
      <c r="L926" s="6"/>
    </row>
    <row r="927" spans="10:12" ht="14.4">
      <c r="J927" s="6"/>
      <c r="K927" s="6"/>
      <c r="L927" s="6"/>
    </row>
    <row r="928" spans="10:12" ht="14.4">
      <c r="J928" s="6"/>
      <c r="K928" s="6"/>
      <c r="L928" s="6"/>
    </row>
    <row r="929" spans="10:12" ht="14.4">
      <c r="J929" s="6"/>
      <c r="K929" s="6"/>
      <c r="L929" s="6"/>
    </row>
    <row r="930" spans="10:12" ht="14.4">
      <c r="J930" s="6"/>
      <c r="K930" s="6"/>
      <c r="L930" s="6"/>
    </row>
    <row r="931" spans="10:12" ht="14.4">
      <c r="J931" s="6"/>
      <c r="K931" s="6"/>
      <c r="L931" s="6"/>
    </row>
    <row r="932" spans="10:12" ht="14.4">
      <c r="J932" s="6"/>
      <c r="K932" s="6"/>
      <c r="L932" s="6"/>
    </row>
    <row r="933" spans="10:12" ht="14.4">
      <c r="J933" s="6"/>
      <c r="K933" s="6"/>
      <c r="L933" s="6"/>
    </row>
    <row r="934" spans="10:12" ht="14.4">
      <c r="J934" s="6"/>
      <c r="K934" s="6"/>
      <c r="L934" s="6"/>
    </row>
    <row r="935" spans="10:12" ht="14.4">
      <c r="J935" s="6"/>
      <c r="K935" s="6"/>
      <c r="L935" s="6"/>
    </row>
    <row r="936" spans="10:12" ht="14.4">
      <c r="J936" s="6"/>
      <c r="K936" s="6"/>
      <c r="L936" s="6"/>
    </row>
    <row r="937" spans="10:12" ht="14.4">
      <c r="J937" s="6"/>
      <c r="K937" s="6"/>
      <c r="L937" s="6"/>
    </row>
    <row r="938" spans="10:12" ht="14.4">
      <c r="J938" s="6"/>
      <c r="K938" s="6"/>
      <c r="L938" s="6"/>
    </row>
    <row r="939" spans="10:12" ht="14.4">
      <c r="J939" s="6"/>
      <c r="K939" s="6"/>
      <c r="L939" s="6"/>
    </row>
    <row r="940" spans="10:12" ht="14.4">
      <c r="J940" s="6"/>
      <c r="K940" s="6"/>
      <c r="L940" s="6"/>
    </row>
    <row r="941" spans="10:12" ht="14.4">
      <c r="J941" s="6"/>
      <c r="K941" s="6"/>
      <c r="L941" s="6"/>
    </row>
    <row r="942" spans="10:12" ht="14.4">
      <c r="J942" s="6"/>
      <c r="K942" s="6"/>
      <c r="L942" s="6"/>
    </row>
    <row r="943" spans="10:12" ht="14.4">
      <c r="J943" s="6"/>
      <c r="K943" s="6"/>
      <c r="L943" s="6"/>
    </row>
    <row r="944" spans="10:12" ht="14.4">
      <c r="J944" s="6"/>
      <c r="K944" s="6"/>
      <c r="L944" s="6"/>
    </row>
    <row r="945" spans="10:12" ht="14.4">
      <c r="J945" s="6"/>
      <c r="K945" s="6"/>
      <c r="L945" s="6"/>
    </row>
    <row r="946" spans="10:12" ht="14.4">
      <c r="J946" s="6"/>
      <c r="K946" s="6"/>
      <c r="L946" s="6"/>
    </row>
    <row r="947" spans="10:12" ht="14.4">
      <c r="J947" s="6"/>
      <c r="K947" s="6"/>
      <c r="L947" s="6"/>
    </row>
    <row r="948" spans="10:12" ht="14.4">
      <c r="J948" s="6"/>
      <c r="K948" s="6"/>
      <c r="L948" s="6"/>
    </row>
    <row r="949" spans="10:12" ht="14.4">
      <c r="J949" s="6"/>
      <c r="K949" s="6"/>
      <c r="L949" s="6"/>
    </row>
    <row r="950" spans="10:12" ht="14.4">
      <c r="J950" s="6"/>
      <c r="K950" s="6"/>
      <c r="L950" s="6"/>
    </row>
    <row r="951" spans="10:12" ht="14.4">
      <c r="J951" s="6"/>
      <c r="K951" s="6"/>
      <c r="L951" s="6"/>
    </row>
    <row r="952" spans="10:12" ht="14.4">
      <c r="J952" s="6"/>
      <c r="K952" s="6"/>
      <c r="L952" s="6"/>
    </row>
    <row r="953" spans="10:12" ht="14.4">
      <c r="J953" s="6"/>
      <c r="K953" s="6"/>
      <c r="L953" s="6"/>
    </row>
    <row r="954" spans="10:12" ht="14.4">
      <c r="J954" s="6"/>
      <c r="K954" s="6"/>
      <c r="L954" s="6"/>
    </row>
    <row r="955" spans="10:12" ht="14.4">
      <c r="J955" s="6"/>
      <c r="K955" s="6"/>
      <c r="L955" s="6"/>
    </row>
    <row r="956" spans="10:12" ht="14.4">
      <c r="J956" s="6"/>
      <c r="K956" s="6"/>
      <c r="L956" s="6"/>
    </row>
    <row r="957" spans="10:12" ht="14.4">
      <c r="J957" s="6"/>
      <c r="K957" s="6"/>
      <c r="L957" s="6"/>
    </row>
    <row r="958" spans="10:12" ht="14.4">
      <c r="J958" s="6"/>
      <c r="K958" s="6"/>
      <c r="L958" s="6"/>
    </row>
    <row r="959" spans="10:12" ht="14.4">
      <c r="J959" s="6"/>
      <c r="K959" s="6"/>
      <c r="L959" s="6"/>
    </row>
    <row r="960" spans="10:12" ht="14.4">
      <c r="J960" s="6"/>
      <c r="K960" s="6"/>
      <c r="L960" s="6"/>
    </row>
    <row r="961" spans="10:12" ht="14.4">
      <c r="J961" s="6"/>
      <c r="K961" s="6"/>
      <c r="L961" s="6"/>
    </row>
    <row r="962" spans="10:12" ht="14.4">
      <c r="J962" s="6"/>
      <c r="K962" s="6"/>
      <c r="L962" s="6"/>
    </row>
    <row r="963" spans="10:12" ht="14.4">
      <c r="J963" s="6"/>
      <c r="K963" s="6"/>
      <c r="L963" s="6"/>
    </row>
    <row r="964" spans="10:12" ht="14.4">
      <c r="J964" s="6"/>
      <c r="K964" s="6"/>
      <c r="L964" s="6"/>
    </row>
    <row r="965" spans="10:12" ht="14.4">
      <c r="J965" s="6"/>
      <c r="K965" s="6"/>
      <c r="L965" s="6"/>
    </row>
    <row r="966" spans="10:12" ht="14.4">
      <c r="J966" s="6"/>
      <c r="K966" s="6"/>
      <c r="L966" s="6"/>
    </row>
    <row r="967" spans="10:12" ht="14.4">
      <c r="J967" s="6"/>
      <c r="K967" s="6"/>
      <c r="L967" s="6"/>
    </row>
    <row r="968" spans="10:12" ht="14.4">
      <c r="J968" s="6"/>
      <c r="K968" s="6"/>
      <c r="L968" s="6"/>
    </row>
    <row r="969" spans="10:12" ht="14.4">
      <c r="J969" s="6"/>
      <c r="K969" s="6"/>
      <c r="L969" s="6"/>
    </row>
    <row r="970" spans="10:12" ht="14.4">
      <c r="J970" s="6"/>
      <c r="K970" s="6"/>
      <c r="L970" s="6"/>
    </row>
    <row r="971" spans="10:12" ht="14.4">
      <c r="J971" s="6"/>
      <c r="K971" s="6"/>
      <c r="L971" s="6"/>
    </row>
    <row r="972" spans="10:12" ht="14.4">
      <c r="J972" s="6"/>
      <c r="K972" s="6"/>
      <c r="L972" s="6"/>
    </row>
    <row r="973" spans="10:12" ht="14.4">
      <c r="J973" s="6"/>
      <c r="K973" s="6"/>
      <c r="L973" s="6"/>
    </row>
    <row r="974" spans="10:12" ht="14.4">
      <c r="J974" s="6"/>
      <c r="K974" s="6"/>
      <c r="L974" s="6"/>
    </row>
    <row r="975" spans="10:12" ht="14.4">
      <c r="J975" s="6"/>
      <c r="K975" s="6"/>
      <c r="L975" s="6"/>
    </row>
    <row r="976" spans="10:12" ht="14.4">
      <c r="J976" s="6"/>
      <c r="K976" s="6"/>
      <c r="L976" s="6"/>
    </row>
    <row r="977" spans="10:12" ht="14.4">
      <c r="J977" s="6"/>
      <c r="K977" s="6"/>
      <c r="L977" s="6"/>
    </row>
    <row r="978" spans="10:12" ht="14.4">
      <c r="J978" s="6"/>
      <c r="K978" s="6"/>
      <c r="L978" s="6"/>
    </row>
    <row r="979" spans="10:12" ht="14.4">
      <c r="J979" s="6"/>
      <c r="K979" s="6"/>
      <c r="L979" s="6"/>
    </row>
    <row r="980" spans="10:12" ht="14.4">
      <c r="J980" s="6"/>
      <c r="K980" s="6"/>
      <c r="L980" s="6"/>
    </row>
    <row r="981" spans="10:12" ht="14.4">
      <c r="J981" s="6"/>
      <c r="K981" s="6"/>
      <c r="L981" s="6"/>
    </row>
    <row r="982" spans="10:12" ht="14.4">
      <c r="J982" s="6"/>
      <c r="K982" s="6"/>
      <c r="L982" s="6"/>
    </row>
    <row r="983" spans="10:12" ht="14.4">
      <c r="J983" s="6"/>
      <c r="K983" s="6"/>
      <c r="L983" s="6"/>
    </row>
    <row r="984" spans="10:12" ht="14.4">
      <c r="J984" s="6"/>
      <c r="K984" s="6"/>
      <c r="L984" s="6"/>
    </row>
    <row r="985" spans="10:12" ht="14.4">
      <c r="J985" s="6"/>
      <c r="K985" s="6"/>
      <c r="L985" s="6"/>
    </row>
    <row r="986" spans="10:12" ht="14.4">
      <c r="J986" s="6"/>
      <c r="K986" s="6"/>
      <c r="L986" s="6"/>
    </row>
    <row r="987" spans="10:12" ht="14.4">
      <c r="J987" s="6"/>
      <c r="K987" s="6"/>
      <c r="L987" s="6"/>
    </row>
    <row r="988" spans="10:12" ht="14.4">
      <c r="J988" s="6"/>
      <c r="K988" s="6"/>
      <c r="L988" s="6"/>
    </row>
    <row r="989" spans="10:12" ht="14.4">
      <c r="J989" s="6"/>
      <c r="K989" s="6"/>
      <c r="L989" s="6"/>
    </row>
    <row r="990" spans="10:12" ht="14.4">
      <c r="J990" s="6"/>
      <c r="K990" s="6"/>
      <c r="L990" s="6"/>
    </row>
    <row r="991" spans="10:12" ht="14.4">
      <c r="J991" s="6"/>
      <c r="K991" s="6"/>
      <c r="L991" s="6"/>
    </row>
  </sheetData>
  <autoFilter ref="A30:AE31" xr:uid="{00000000-0001-0000-0400-000000000000}"/>
  <mergeCells count="18">
    <mergeCell ref="Y4:Z4"/>
    <mergeCell ref="O4:P4"/>
    <mergeCell ref="C4:D4"/>
    <mergeCell ref="E4:F4"/>
    <mergeCell ref="G4:H4"/>
    <mergeCell ref="I4:J4"/>
    <mergeCell ref="K4:L4"/>
    <mergeCell ref="M4:N4"/>
    <mergeCell ref="T11:U11"/>
    <mergeCell ref="T12:U12"/>
    <mergeCell ref="Y5:AA5"/>
    <mergeCell ref="AB5:AD5"/>
    <mergeCell ref="V5:X5"/>
    <mergeCell ref="T6:U6"/>
    <mergeCell ref="T7:U7"/>
    <mergeCell ref="T8:U8"/>
    <mergeCell ref="T9:U9"/>
    <mergeCell ref="T10:U10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FF5E-15CE-4D58-AE63-1289577AB416}">
  <dimension ref="B4:L12"/>
  <sheetViews>
    <sheetView workbookViewId="0">
      <selection activeCell="D7" sqref="D7"/>
    </sheetView>
  </sheetViews>
  <sheetFormatPr defaultRowHeight="13.8"/>
  <cols>
    <col min="3" max="3" width="18.19921875" customWidth="1"/>
    <col min="4" max="4" width="13.796875" customWidth="1"/>
    <col min="5" max="5" width="12.5" customWidth="1"/>
    <col min="6" max="6" width="7.59765625" customWidth="1"/>
    <col min="7" max="7" width="11.09765625" customWidth="1"/>
    <col min="8" max="8" width="11.5" customWidth="1"/>
    <col min="9" max="9" width="10.3984375" customWidth="1"/>
    <col min="10" max="10" width="14.19921875" customWidth="1"/>
    <col min="12" max="12" width="14.19921875" customWidth="1"/>
  </cols>
  <sheetData>
    <row r="4" spans="2:12" ht="14.4" thickBot="1"/>
    <row r="5" spans="2:12" ht="21.6" thickBot="1">
      <c r="B5" s="3"/>
      <c r="C5" s="3"/>
      <c r="D5" s="517" t="s">
        <v>140</v>
      </c>
      <c r="E5" s="518"/>
      <c r="F5" s="519"/>
      <c r="G5" s="573" t="s">
        <v>141</v>
      </c>
      <c r="H5" s="574"/>
      <c r="I5" s="575"/>
      <c r="J5" s="576" t="s">
        <v>106</v>
      </c>
      <c r="K5" s="577"/>
      <c r="L5" s="578"/>
    </row>
    <row r="6" spans="2:12" ht="31.8" thickBot="1">
      <c r="B6" s="490" t="s">
        <v>110</v>
      </c>
      <c r="C6" s="491"/>
      <c r="D6" s="266" t="s">
        <v>105</v>
      </c>
      <c r="E6" s="268" t="s">
        <v>107</v>
      </c>
      <c r="F6" s="266" t="s">
        <v>76</v>
      </c>
      <c r="G6" s="265" t="s">
        <v>105</v>
      </c>
      <c r="H6" s="266" t="s">
        <v>107</v>
      </c>
      <c r="I6" s="267" t="s">
        <v>76</v>
      </c>
      <c r="J6" s="265" t="s">
        <v>105</v>
      </c>
      <c r="K6" s="266" t="s">
        <v>107</v>
      </c>
      <c r="L6" s="267" t="s">
        <v>76</v>
      </c>
    </row>
    <row r="7" spans="2:12" ht="14.4">
      <c r="B7" s="492" t="s">
        <v>92</v>
      </c>
      <c r="C7" s="493"/>
      <c r="D7" s="269">
        <v>28</v>
      </c>
      <c r="E7" s="244">
        <v>166</v>
      </c>
      <c r="F7" s="434">
        <v>0.16867469879518071</v>
      </c>
      <c r="G7" s="435">
        <v>22</v>
      </c>
      <c r="H7" s="436">
        <v>92</v>
      </c>
      <c r="I7" s="437">
        <v>0.2391304347826087</v>
      </c>
      <c r="J7" s="438">
        <v>50</v>
      </c>
      <c r="K7" s="275">
        <v>258</v>
      </c>
      <c r="L7" s="437">
        <v>0.19379844961240311</v>
      </c>
    </row>
    <row r="8" spans="2:12" ht="14.4">
      <c r="B8" s="494" t="s">
        <v>93</v>
      </c>
      <c r="C8" s="495"/>
      <c r="D8" s="269">
        <v>12</v>
      </c>
      <c r="E8" s="244">
        <v>148</v>
      </c>
      <c r="F8" s="434">
        <v>8.1081081081081086E-2</v>
      </c>
      <c r="G8" s="435">
        <v>32</v>
      </c>
      <c r="H8" s="269">
        <v>116</v>
      </c>
      <c r="I8" s="437">
        <v>0.27586206896551724</v>
      </c>
      <c r="J8" s="438">
        <v>44</v>
      </c>
      <c r="K8" s="275">
        <v>264</v>
      </c>
      <c r="L8" s="437">
        <v>0.16666666666666666</v>
      </c>
    </row>
    <row r="9" spans="2:12" ht="14.4">
      <c r="B9" s="494" t="s">
        <v>94</v>
      </c>
      <c r="C9" s="495"/>
      <c r="D9" s="269">
        <v>4</v>
      </c>
      <c r="E9" s="244">
        <v>148</v>
      </c>
      <c r="F9" s="434">
        <v>2.7027027027027029E-2</v>
      </c>
      <c r="G9" s="435">
        <v>9</v>
      </c>
      <c r="H9" s="269">
        <v>97</v>
      </c>
      <c r="I9" s="437">
        <v>9.2783505154639179E-2</v>
      </c>
      <c r="J9" s="438">
        <v>13</v>
      </c>
      <c r="K9" s="275">
        <v>245</v>
      </c>
      <c r="L9" s="437">
        <v>5.3061224489795916E-2</v>
      </c>
    </row>
    <row r="10" spans="2:12" ht="14.4">
      <c r="B10" s="494" t="s">
        <v>109</v>
      </c>
      <c r="C10" s="495"/>
      <c r="D10" s="269">
        <v>26</v>
      </c>
      <c r="E10" s="244">
        <v>194</v>
      </c>
      <c r="F10" s="434">
        <v>0.13402061855670103</v>
      </c>
      <c r="G10" s="435">
        <v>31</v>
      </c>
      <c r="H10" s="269">
        <v>134</v>
      </c>
      <c r="I10" s="437">
        <v>0.23134328358208955</v>
      </c>
      <c r="J10" s="438">
        <v>57</v>
      </c>
      <c r="K10" s="275">
        <v>328</v>
      </c>
      <c r="L10" s="437">
        <v>0.17378048780487804</v>
      </c>
    </row>
    <row r="11" spans="2:12" ht="14.4">
      <c r="B11" s="494" t="s">
        <v>108</v>
      </c>
      <c r="C11" s="495"/>
      <c r="D11" s="269">
        <v>162</v>
      </c>
      <c r="E11" s="244">
        <v>194</v>
      </c>
      <c r="F11" s="434">
        <v>0.83505154639175261</v>
      </c>
      <c r="G11" s="435">
        <v>117</v>
      </c>
      <c r="H11" s="269">
        <v>134</v>
      </c>
      <c r="I11" s="437">
        <v>0.87313432835820892</v>
      </c>
      <c r="J11" s="438">
        <v>279</v>
      </c>
      <c r="K11" s="275">
        <v>328</v>
      </c>
      <c r="L11" s="437">
        <v>0.85060975609756095</v>
      </c>
    </row>
    <row r="12" spans="2:12" ht="15" thickBot="1">
      <c r="B12" s="504" t="s">
        <v>30</v>
      </c>
      <c r="C12" s="505"/>
      <c r="D12" s="276">
        <v>177</v>
      </c>
      <c r="E12" s="277">
        <v>194</v>
      </c>
      <c r="F12" s="439">
        <v>0.91237113402061853</v>
      </c>
      <c r="G12" s="440">
        <v>121</v>
      </c>
      <c r="H12" s="441">
        <v>134</v>
      </c>
      <c r="I12" s="442">
        <v>0.90298507462686572</v>
      </c>
      <c r="J12" s="443">
        <v>298</v>
      </c>
      <c r="K12" s="282">
        <v>328</v>
      </c>
      <c r="L12" s="442">
        <v>0.90853658536585369</v>
      </c>
    </row>
  </sheetData>
  <mergeCells count="10">
    <mergeCell ref="B9:C9"/>
    <mergeCell ref="B10:C10"/>
    <mergeCell ref="B11:C11"/>
    <mergeCell ref="B12:C12"/>
    <mergeCell ref="D5:F5"/>
    <mergeCell ref="G5:I5"/>
    <mergeCell ref="J5:L5"/>
    <mergeCell ref="B6:C6"/>
    <mergeCell ref="B7:C7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5"/>
  <sheetViews>
    <sheetView topLeftCell="A11" workbookViewId="0">
      <selection activeCell="B21" sqref="B21"/>
    </sheetView>
  </sheetViews>
  <sheetFormatPr defaultColWidth="11" defaultRowHeight="13.8"/>
  <cols>
    <col min="4" max="4" width="24.59765625" customWidth="1"/>
    <col min="6" max="6" width="34.796875" customWidth="1"/>
    <col min="16" max="16" width="17.796875" customWidth="1"/>
  </cols>
  <sheetData>
    <row r="1" spans="1:26" ht="31.8" customHeight="1">
      <c r="B1" s="82"/>
      <c r="C1" s="174" t="s">
        <v>75</v>
      </c>
      <c r="D1" s="540" t="s">
        <v>114</v>
      </c>
      <c r="E1" s="588"/>
      <c r="F1" s="173" t="s">
        <v>57</v>
      </c>
      <c r="G1" s="184" t="s">
        <v>96</v>
      </c>
      <c r="H1" s="184" t="s">
        <v>98</v>
      </c>
      <c r="I1" s="184" t="s">
        <v>99</v>
      </c>
    </row>
    <row r="2" spans="1:26" ht="14.4">
      <c r="A2" s="341">
        <v>0.6</v>
      </c>
      <c r="B2" s="82">
        <v>1</v>
      </c>
      <c r="C2" s="173">
        <v>1</v>
      </c>
      <c r="D2" s="373"/>
      <c r="E2" s="373"/>
      <c r="F2" s="263"/>
      <c r="G2" s="263"/>
      <c r="H2" s="263"/>
      <c r="I2" s="355"/>
      <c r="K2" s="400" t="s">
        <v>0</v>
      </c>
    </row>
    <row r="3" spans="1:26" ht="14.4">
      <c r="B3" s="82">
        <v>2</v>
      </c>
      <c r="C3" s="173">
        <v>2</v>
      </c>
      <c r="D3" s="402"/>
      <c r="E3" s="371"/>
      <c r="F3" s="368"/>
      <c r="G3" s="368"/>
      <c r="H3" s="368"/>
      <c r="I3" s="369"/>
      <c r="K3" s="400" t="s">
        <v>2</v>
      </c>
      <c r="L3" t="e">
        <f>COUNTIF('One year follow-up_Virtual'!#REF!, "Female")</f>
        <v>#REF!</v>
      </c>
    </row>
    <row r="4" spans="1:26" ht="15.6">
      <c r="B4" s="82">
        <v>3</v>
      </c>
      <c r="C4" s="173">
        <v>3</v>
      </c>
      <c r="D4" s="384"/>
      <c r="E4" s="385"/>
      <c r="F4" s="386"/>
      <c r="G4" s="263"/>
      <c r="H4" s="263"/>
      <c r="I4" s="355"/>
      <c r="K4" s="400" t="s">
        <v>4</v>
      </c>
      <c r="L4" t="e">
        <f>COUNTIF('One year follow-up_Virtual'!#REF!, "Male")</f>
        <v>#REF!</v>
      </c>
    </row>
    <row r="5" spans="1:26" ht="15.6">
      <c r="B5" s="82">
        <v>4</v>
      </c>
      <c r="C5" s="173">
        <v>4</v>
      </c>
      <c r="D5" s="387"/>
      <c r="E5" s="388"/>
      <c r="F5" s="382"/>
      <c r="G5" s="350"/>
      <c r="H5" s="350"/>
      <c r="I5" s="351"/>
      <c r="K5" s="400" t="s">
        <v>87</v>
      </c>
      <c r="L5" t="e">
        <f>SUM(L3:L4)</f>
        <v>#REF!</v>
      </c>
    </row>
    <row r="6" spans="1:26" ht="15.6">
      <c r="B6" s="82">
        <v>5</v>
      </c>
      <c r="C6" s="173">
        <v>5</v>
      </c>
      <c r="D6" s="389"/>
      <c r="E6" s="389"/>
      <c r="F6" s="386"/>
      <c r="G6" s="350"/>
      <c r="H6" s="350"/>
      <c r="I6" s="351"/>
    </row>
    <row r="7" spans="1:26" ht="15.6">
      <c r="B7" s="82">
        <v>6</v>
      </c>
      <c r="C7" s="173">
        <v>6</v>
      </c>
      <c r="D7" s="390"/>
      <c r="E7" s="390"/>
      <c r="F7" s="380"/>
      <c r="G7" s="350"/>
      <c r="H7" s="350"/>
      <c r="I7" s="351"/>
    </row>
    <row r="8" spans="1:26" ht="14.4">
      <c r="A8" s="85"/>
      <c r="B8" s="86"/>
      <c r="C8" s="85"/>
      <c r="D8" s="85"/>
      <c r="E8" s="87"/>
      <c r="F8" s="89" t="s">
        <v>32</v>
      </c>
      <c r="G8" s="89"/>
      <c r="H8" s="89"/>
      <c r="I8" s="89"/>
      <c r="J8" s="89"/>
      <c r="K8" s="90"/>
      <c r="L8" s="85"/>
      <c r="M8" s="85"/>
      <c r="N8" s="85"/>
      <c r="O8" s="86"/>
      <c r="P8" s="85"/>
      <c r="Q8" s="88"/>
      <c r="R8" s="85"/>
      <c r="S8" s="85"/>
      <c r="T8" s="85"/>
      <c r="U8" s="85"/>
      <c r="V8" s="85"/>
      <c r="W8" s="85"/>
      <c r="X8" s="85"/>
      <c r="Y8" s="85"/>
      <c r="Z8" s="85"/>
    </row>
    <row r="9" spans="1:26" ht="14.4">
      <c r="A9" s="85"/>
      <c r="B9" s="86"/>
      <c r="C9" s="85"/>
      <c r="D9" s="85"/>
      <c r="E9" s="87"/>
      <c r="F9" s="91" t="s">
        <v>21</v>
      </c>
      <c r="G9" s="92">
        <f>SUM(H2:H7)</f>
        <v>0</v>
      </c>
      <c r="H9" s="93" t="e">
        <f>G9=#REF!</f>
        <v>#REF!</v>
      </c>
      <c r="I9" s="93"/>
      <c r="J9" s="93"/>
      <c r="K9" s="94"/>
      <c r="L9" s="85"/>
      <c r="M9" s="85"/>
      <c r="N9" s="85"/>
      <c r="O9" s="86"/>
      <c r="P9" s="85"/>
      <c r="Q9" s="88"/>
      <c r="R9" s="85"/>
      <c r="S9" s="85"/>
      <c r="T9" s="85"/>
      <c r="U9" s="85"/>
      <c r="V9" s="85"/>
      <c r="W9" s="85"/>
      <c r="X9" s="85"/>
      <c r="Y9" s="85"/>
      <c r="Z9" s="85"/>
    </row>
    <row r="10" spans="1:26" ht="15" thickBot="1">
      <c r="A10" s="85"/>
      <c r="B10" s="95"/>
      <c r="C10" s="85"/>
      <c r="D10" s="85"/>
      <c r="E10" s="96"/>
      <c r="F10" s="97"/>
      <c r="G10" s="97"/>
      <c r="H10" s="97"/>
      <c r="I10" s="97"/>
      <c r="J10" s="97"/>
      <c r="K10" s="87"/>
      <c r="L10" s="85"/>
      <c r="M10" s="85"/>
      <c r="N10" s="85"/>
      <c r="O10" s="86"/>
      <c r="P10" s="85"/>
      <c r="Q10" s="88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181.95" customHeight="1" thickBot="1">
      <c r="A11" s="595" t="s">
        <v>22</v>
      </c>
      <c r="B11" s="597" t="s">
        <v>23</v>
      </c>
      <c r="C11" s="599" t="s">
        <v>24</v>
      </c>
      <c r="D11" s="601" t="s">
        <v>0</v>
      </c>
      <c r="E11" s="599" t="s">
        <v>25</v>
      </c>
      <c r="F11" s="601" t="s">
        <v>26</v>
      </c>
      <c r="G11" s="589" t="s">
        <v>72</v>
      </c>
      <c r="H11" s="590"/>
      <c r="I11" s="591"/>
      <c r="J11" s="592" t="s">
        <v>27</v>
      </c>
      <c r="K11" s="593"/>
      <c r="L11" s="593"/>
      <c r="M11" s="593"/>
      <c r="N11" s="594"/>
      <c r="O11" s="157" t="s">
        <v>30</v>
      </c>
      <c r="P11" s="158" t="s">
        <v>33</v>
      </c>
      <c r="Q11" s="157" t="s">
        <v>34</v>
      </c>
    </row>
    <row r="12" spans="1:26" ht="72.599999999999994" thickBot="1">
      <c r="A12" s="596"/>
      <c r="B12" s="598"/>
      <c r="C12" s="600"/>
      <c r="D12" s="602"/>
      <c r="E12" s="600"/>
      <c r="F12" s="602"/>
      <c r="G12" s="287" t="e">
        <f>#REF!</f>
        <v>#REF!</v>
      </c>
      <c r="H12" s="288" t="e">
        <f>#REF!</f>
        <v>#REF!</v>
      </c>
      <c r="I12" s="288" t="e">
        <f>#REF!</f>
        <v>#REF!</v>
      </c>
      <c r="J12" s="289" t="s">
        <v>85</v>
      </c>
      <c r="K12" s="283" t="e">
        <f>#REF!</f>
        <v>#REF!</v>
      </c>
      <c r="L12" s="284" t="e">
        <f>#REF!</f>
        <v>#REF!</v>
      </c>
      <c r="M12" s="285" t="e">
        <f>#REF!</f>
        <v>#REF!</v>
      </c>
      <c r="N12" s="286" t="e">
        <f>#REF!</f>
        <v>#REF!</v>
      </c>
      <c r="O12" s="160"/>
      <c r="P12" s="159"/>
      <c r="Q12" s="160"/>
    </row>
    <row r="13" spans="1:26" ht="14.4">
      <c r="B13" s="95"/>
      <c r="F13" s="99"/>
      <c r="G13" s="99"/>
      <c r="H13" s="99"/>
      <c r="I13" s="99"/>
      <c r="J13" s="99"/>
      <c r="P13" s="98"/>
      <c r="Q13" s="100"/>
    </row>
    <row r="14" spans="1:26" ht="14.4">
      <c r="B14" s="95"/>
      <c r="F14" s="99"/>
      <c r="G14" s="99"/>
      <c r="H14" s="99"/>
      <c r="I14" s="99"/>
      <c r="J14" s="99"/>
      <c r="P14" s="98"/>
      <c r="Q14" s="100"/>
    </row>
    <row r="15" spans="1:26" ht="14.4">
      <c r="B15" s="95"/>
      <c r="F15" s="99"/>
      <c r="G15" s="99"/>
      <c r="H15" s="99"/>
      <c r="I15" s="99"/>
      <c r="J15" s="99"/>
      <c r="P15" s="98"/>
      <c r="Q15" s="100"/>
    </row>
    <row r="16" spans="1:26" ht="14.4">
      <c r="B16" s="95"/>
      <c r="F16" s="99"/>
      <c r="G16" s="99"/>
      <c r="H16" s="99"/>
      <c r="I16" s="99"/>
      <c r="J16" s="99"/>
      <c r="P16" s="98"/>
      <c r="Q16" s="100"/>
    </row>
    <row r="17" spans="2:17" ht="14.4">
      <c r="B17" s="95"/>
      <c r="F17" s="99"/>
      <c r="G17" s="99"/>
      <c r="H17" s="99"/>
      <c r="I17" s="99"/>
      <c r="J17" s="99"/>
      <c r="P17" s="85"/>
      <c r="Q17" s="100"/>
    </row>
    <row r="18" spans="2:17" ht="14.4">
      <c r="B18" s="95"/>
      <c r="F18" s="99"/>
      <c r="G18" s="99"/>
      <c r="H18" s="99"/>
      <c r="I18" s="99"/>
      <c r="J18" s="99"/>
      <c r="P18" s="85"/>
      <c r="Q18" s="100"/>
    </row>
    <row r="19" spans="2:17" ht="14.4">
      <c r="B19" s="95"/>
      <c r="F19" s="99"/>
      <c r="G19" s="99"/>
      <c r="H19" s="99"/>
      <c r="I19" s="99"/>
      <c r="J19" s="99"/>
      <c r="P19" s="85"/>
      <c r="Q19" s="100"/>
    </row>
    <row r="20" spans="2:17" ht="14.4">
      <c r="B20" s="95"/>
      <c r="F20" s="99"/>
      <c r="G20" s="99"/>
      <c r="H20" s="99"/>
      <c r="I20" s="99"/>
      <c r="J20" s="99"/>
      <c r="P20" s="85"/>
      <c r="Q20" s="100"/>
    </row>
    <row r="21" spans="2:17" ht="14.4">
      <c r="B21" s="95"/>
      <c r="F21" s="99"/>
      <c r="G21" s="99"/>
      <c r="H21" s="99"/>
      <c r="I21" s="99"/>
      <c r="J21" s="99"/>
      <c r="P21" s="85"/>
      <c r="Q21" s="100"/>
    </row>
    <row r="22" spans="2:17" ht="14.4">
      <c r="B22" s="95"/>
      <c r="F22" s="99"/>
      <c r="G22" s="99"/>
      <c r="H22" s="99"/>
      <c r="I22" s="99"/>
      <c r="J22" s="99"/>
      <c r="P22" s="85"/>
      <c r="Q22" s="100"/>
    </row>
    <row r="23" spans="2:17" ht="14.4">
      <c r="B23" s="95"/>
      <c r="F23" s="99"/>
      <c r="G23" s="99"/>
      <c r="H23" s="99"/>
      <c r="I23" s="99"/>
      <c r="J23" s="99"/>
      <c r="P23" s="85"/>
      <c r="Q23" s="100"/>
    </row>
    <row r="24" spans="2:17" ht="14.4">
      <c r="B24" s="95"/>
      <c r="F24" s="99"/>
      <c r="G24" s="99"/>
      <c r="H24" s="99"/>
      <c r="I24" s="99"/>
      <c r="J24" s="99"/>
      <c r="P24" s="85"/>
      <c r="Q24" s="100"/>
    </row>
    <row r="25" spans="2:17" ht="14.4">
      <c r="B25" s="95"/>
      <c r="F25" s="99"/>
      <c r="G25" s="99"/>
      <c r="H25" s="99"/>
      <c r="I25" s="99"/>
      <c r="J25" s="99"/>
      <c r="P25" s="85"/>
      <c r="Q25" s="100"/>
    </row>
    <row r="26" spans="2:17" ht="14.4">
      <c r="B26" s="95"/>
      <c r="F26" s="99"/>
      <c r="G26" s="99"/>
      <c r="H26" s="99"/>
      <c r="I26" s="99"/>
      <c r="J26" s="99"/>
      <c r="P26" s="85"/>
      <c r="Q26" s="100"/>
    </row>
    <row r="27" spans="2:17" ht="14.4">
      <c r="B27" s="95"/>
      <c r="F27" s="99"/>
      <c r="G27" s="99"/>
      <c r="H27" s="99"/>
      <c r="I27" s="99"/>
      <c r="J27" s="99"/>
      <c r="P27" s="85"/>
      <c r="Q27" s="100"/>
    </row>
    <row r="28" spans="2:17" ht="14.4">
      <c r="B28" s="95"/>
      <c r="F28" s="99"/>
      <c r="G28" s="99"/>
      <c r="H28" s="99"/>
      <c r="I28" s="99"/>
      <c r="J28" s="99"/>
      <c r="P28" s="85"/>
      <c r="Q28" s="100"/>
    </row>
    <row r="29" spans="2:17" ht="14.4">
      <c r="B29" s="95"/>
      <c r="F29" s="99"/>
      <c r="G29" s="99"/>
      <c r="H29" s="99"/>
      <c r="I29" s="99"/>
      <c r="J29" s="99"/>
      <c r="P29" s="85"/>
      <c r="Q29" s="100"/>
    </row>
    <row r="30" spans="2:17" ht="14.4">
      <c r="B30" s="95"/>
      <c r="F30" s="99"/>
      <c r="G30" s="99"/>
      <c r="H30" s="99"/>
      <c r="I30" s="99"/>
      <c r="J30" s="99"/>
      <c r="P30" s="85"/>
      <c r="Q30" s="100"/>
    </row>
    <row r="31" spans="2:17" ht="14.4">
      <c r="B31" s="95"/>
      <c r="F31" s="99"/>
      <c r="G31" s="99"/>
      <c r="H31" s="99"/>
      <c r="I31" s="99"/>
      <c r="J31" s="99"/>
      <c r="P31" s="85"/>
      <c r="Q31" s="100"/>
    </row>
    <row r="32" spans="2:17" ht="14.4">
      <c r="B32" s="95"/>
      <c r="F32" s="99"/>
      <c r="G32" s="99"/>
      <c r="H32" s="99"/>
      <c r="I32" s="99"/>
      <c r="J32" s="99"/>
      <c r="P32" s="85"/>
      <c r="Q32" s="100"/>
    </row>
    <row r="33" spans="2:17" ht="14.4">
      <c r="B33" s="95"/>
      <c r="F33" s="99"/>
      <c r="G33" s="99"/>
      <c r="H33" s="99"/>
      <c r="I33" s="99"/>
      <c r="J33" s="99"/>
      <c r="P33" s="85"/>
      <c r="Q33" s="100"/>
    </row>
    <row r="34" spans="2:17" ht="14.4">
      <c r="B34" s="95"/>
      <c r="F34" s="99"/>
      <c r="G34" s="99"/>
      <c r="H34" s="99"/>
      <c r="I34" s="99"/>
      <c r="J34" s="99"/>
      <c r="P34" s="85"/>
      <c r="Q34" s="100"/>
    </row>
    <row r="35" spans="2:17" ht="14.4">
      <c r="B35" s="95"/>
      <c r="F35" s="99"/>
      <c r="G35" s="99"/>
      <c r="H35" s="99"/>
      <c r="I35" s="99"/>
      <c r="J35" s="99"/>
      <c r="P35" s="85"/>
      <c r="Q35" s="100"/>
    </row>
    <row r="36" spans="2:17" ht="14.4">
      <c r="B36" s="95"/>
      <c r="F36" s="99"/>
      <c r="G36" s="99"/>
      <c r="H36" s="99"/>
      <c r="I36" s="99"/>
      <c r="J36" s="99"/>
      <c r="P36" s="85"/>
      <c r="Q36" s="100"/>
    </row>
    <row r="37" spans="2:17" ht="14.4">
      <c r="B37" s="95"/>
      <c r="F37" s="99"/>
      <c r="G37" s="99"/>
      <c r="H37" s="99"/>
      <c r="I37" s="99"/>
      <c r="J37" s="99"/>
      <c r="P37" s="85"/>
      <c r="Q37" s="100"/>
    </row>
    <row r="38" spans="2:17" ht="14.4">
      <c r="B38" s="95"/>
      <c r="F38" s="99"/>
      <c r="G38" s="99"/>
      <c r="H38" s="99"/>
      <c r="I38" s="99"/>
      <c r="J38" s="99"/>
      <c r="P38" s="85"/>
      <c r="Q38" s="100"/>
    </row>
    <row r="39" spans="2:17" ht="14.4">
      <c r="B39" s="95"/>
      <c r="F39" s="99"/>
      <c r="G39" s="99"/>
      <c r="H39" s="99"/>
      <c r="I39" s="99"/>
      <c r="J39" s="99"/>
      <c r="P39" s="85"/>
      <c r="Q39" s="100"/>
    </row>
    <row r="40" spans="2:17" ht="14.4">
      <c r="B40" s="95"/>
      <c r="F40" s="99"/>
      <c r="G40" s="99"/>
      <c r="H40" s="99"/>
      <c r="I40" s="99"/>
      <c r="J40" s="99"/>
      <c r="P40" s="85"/>
      <c r="Q40" s="100"/>
    </row>
    <row r="41" spans="2:17" ht="14.4">
      <c r="B41" s="95"/>
      <c r="F41" s="99"/>
      <c r="G41" s="99"/>
      <c r="H41" s="99"/>
      <c r="I41" s="99"/>
      <c r="J41" s="99"/>
      <c r="P41" s="85"/>
      <c r="Q41" s="100"/>
    </row>
    <row r="42" spans="2:17" ht="14.4">
      <c r="B42" s="95"/>
      <c r="F42" s="99"/>
      <c r="G42" s="99"/>
      <c r="H42" s="99"/>
      <c r="I42" s="99"/>
      <c r="J42" s="99"/>
      <c r="P42" s="85"/>
      <c r="Q42" s="100"/>
    </row>
    <row r="43" spans="2:17" ht="14.4">
      <c r="B43" s="95"/>
      <c r="F43" s="99"/>
      <c r="G43" s="99"/>
      <c r="H43" s="99"/>
      <c r="I43" s="99"/>
      <c r="J43" s="99"/>
      <c r="P43" s="85"/>
      <c r="Q43" s="100"/>
    </row>
    <row r="44" spans="2:17" ht="14.4">
      <c r="B44" s="95"/>
      <c r="F44" s="99"/>
      <c r="G44" s="99"/>
      <c r="H44" s="99"/>
      <c r="I44" s="99"/>
      <c r="J44" s="99"/>
      <c r="P44" s="85"/>
      <c r="Q44" s="100"/>
    </row>
    <row r="45" spans="2:17" ht="14.4">
      <c r="B45" s="95"/>
      <c r="F45" s="99"/>
      <c r="G45" s="99"/>
      <c r="H45" s="99"/>
      <c r="I45" s="99"/>
      <c r="J45" s="99"/>
      <c r="P45" s="85"/>
      <c r="Q45" s="100"/>
    </row>
    <row r="46" spans="2:17" ht="14.4">
      <c r="B46" s="95"/>
      <c r="F46" s="99"/>
      <c r="G46" s="99"/>
      <c r="H46" s="99"/>
      <c r="I46" s="99"/>
      <c r="J46" s="99"/>
      <c r="P46" s="85"/>
      <c r="Q46" s="100"/>
    </row>
    <row r="47" spans="2:17" ht="14.4">
      <c r="B47" s="95"/>
      <c r="F47" s="99"/>
      <c r="G47" s="99"/>
      <c r="H47" s="99"/>
      <c r="I47" s="99"/>
      <c r="J47" s="99"/>
      <c r="P47" s="85"/>
      <c r="Q47" s="100"/>
    </row>
    <row r="48" spans="2:17" ht="14.4">
      <c r="B48" s="95"/>
      <c r="F48" s="99"/>
      <c r="G48" s="99"/>
      <c r="H48" s="99"/>
      <c r="I48" s="99"/>
      <c r="J48" s="99"/>
      <c r="P48" s="85"/>
      <c r="Q48" s="100"/>
    </row>
    <row r="49" spans="2:17" ht="14.4">
      <c r="B49" s="95"/>
      <c r="F49" s="99"/>
      <c r="G49" s="99"/>
      <c r="H49" s="99"/>
      <c r="I49" s="99"/>
      <c r="J49" s="99"/>
      <c r="P49" s="85"/>
      <c r="Q49" s="100"/>
    </row>
    <row r="50" spans="2:17" ht="14.4">
      <c r="B50" s="95"/>
      <c r="F50" s="99"/>
      <c r="G50" s="99"/>
      <c r="H50" s="99"/>
      <c r="I50" s="99"/>
      <c r="J50" s="99"/>
      <c r="P50" s="85"/>
      <c r="Q50" s="100"/>
    </row>
    <row r="51" spans="2:17" ht="14.4">
      <c r="B51" s="95"/>
      <c r="F51" s="99"/>
      <c r="G51" s="99"/>
      <c r="H51" s="99"/>
      <c r="I51" s="99"/>
      <c r="J51" s="99"/>
      <c r="P51" s="85"/>
      <c r="Q51" s="100"/>
    </row>
    <row r="52" spans="2:17" ht="14.4">
      <c r="B52" s="95"/>
      <c r="F52" s="99"/>
      <c r="G52" s="99"/>
      <c r="H52" s="99"/>
      <c r="I52" s="99"/>
      <c r="J52" s="99"/>
      <c r="P52" s="85"/>
      <c r="Q52" s="100"/>
    </row>
    <row r="53" spans="2:17" ht="14.4">
      <c r="B53" s="95"/>
      <c r="F53" s="99"/>
      <c r="G53" s="99"/>
      <c r="H53" s="99"/>
      <c r="I53" s="99"/>
      <c r="J53" s="99"/>
      <c r="P53" s="85"/>
      <c r="Q53" s="100"/>
    </row>
    <row r="54" spans="2:17" ht="14.4">
      <c r="B54" s="95"/>
      <c r="F54" s="99"/>
      <c r="G54" s="99"/>
      <c r="H54" s="99"/>
      <c r="I54" s="99"/>
      <c r="J54" s="99"/>
      <c r="P54" s="85"/>
      <c r="Q54" s="100"/>
    </row>
    <row r="55" spans="2:17" ht="14.4">
      <c r="B55" s="95"/>
      <c r="F55" s="99"/>
      <c r="G55" s="99"/>
      <c r="H55" s="99"/>
      <c r="I55" s="99"/>
      <c r="J55" s="99"/>
      <c r="P55" s="85"/>
      <c r="Q55" s="100"/>
    </row>
    <row r="56" spans="2:17" ht="14.4">
      <c r="B56" s="95"/>
      <c r="F56" s="99"/>
      <c r="G56" s="99"/>
      <c r="H56" s="99"/>
      <c r="I56" s="99"/>
      <c r="J56" s="99"/>
      <c r="P56" s="85"/>
      <c r="Q56" s="100"/>
    </row>
    <row r="57" spans="2:17" ht="14.4">
      <c r="B57" s="95"/>
      <c r="F57" s="99"/>
      <c r="G57" s="99"/>
      <c r="H57" s="99"/>
      <c r="I57" s="99"/>
      <c r="J57" s="99"/>
      <c r="P57" s="85"/>
      <c r="Q57" s="100"/>
    </row>
    <row r="58" spans="2:17" ht="14.4">
      <c r="B58" s="95"/>
      <c r="F58" s="99"/>
      <c r="G58" s="99"/>
      <c r="H58" s="99"/>
      <c r="I58" s="99"/>
      <c r="J58" s="99"/>
      <c r="P58" s="85"/>
      <c r="Q58" s="100"/>
    </row>
    <row r="59" spans="2:17" ht="14.4">
      <c r="B59" s="95"/>
      <c r="F59" s="99"/>
      <c r="G59" s="99"/>
      <c r="H59" s="99"/>
      <c r="I59" s="99"/>
      <c r="J59" s="99"/>
      <c r="P59" s="85"/>
      <c r="Q59" s="100"/>
    </row>
    <row r="60" spans="2:17" ht="14.4">
      <c r="B60" s="95"/>
      <c r="F60" s="99"/>
      <c r="G60" s="99"/>
      <c r="H60" s="99"/>
      <c r="I60" s="99"/>
      <c r="J60" s="99"/>
      <c r="P60" s="85"/>
      <c r="Q60" s="100"/>
    </row>
    <row r="61" spans="2:17" ht="14.4">
      <c r="B61" s="95"/>
      <c r="F61" s="99"/>
      <c r="G61" s="99"/>
      <c r="H61" s="99"/>
      <c r="I61" s="99"/>
      <c r="J61" s="99"/>
      <c r="P61" s="85"/>
      <c r="Q61" s="100"/>
    </row>
    <row r="62" spans="2:17" ht="14.4">
      <c r="B62" s="95"/>
      <c r="F62" s="99"/>
      <c r="G62" s="99"/>
      <c r="H62" s="99"/>
      <c r="I62" s="99"/>
      <c r="J62" s="99"/>
      <c r="P62" s="85"/>
      <c r="Q62" s="100"/>
    </row>
    <row r="63" spans="2:17" ht="14.4">
      <c r="B63" s="95"/>
      <c r="F63" s="99"/>
      <c r="G63" s="99"/>
      <c r="H63" s="99"/>
      <c r="I63" s="99"/>
      <c r="J63" s="99"/>
      <c r="P63" s="85"/>
      <c r="Q63" s="100"/>
    </row>
    <row r="64" spans="2:17" ht="14.4">
      <c r="B64" s="95"/>
      <c r="F64" s="99"/>
      <c r="G64" s="99"/>
      <c r="H64" s="99"/>
      <c r="I64" s="99"/>
      <c r="J64" s="99"/>
      <c r="P64" s="85"/>
      <c r="Q64" s="100"/>
    </row>
    <row r="65" spans="2:17" ht="14.4">
      <c r="B65" s="95"/>
      <c r="F65" s="99"/>
      <c r="G65" s="99"/>
      <c r="H65" s="99"/>
      <c r="I65" s="99"/>
      <c r="J65" s="99"/>
      <c r="P65" s="85"/>
      <c r="Q65" s="100"/>
    </row>
    <row r="66" spans="2:17" ht="14.4">
      <c r="B66" s="95"/>
      <c r="F66" s="99"/>
      <c r="G66" s="99"/>
      <c r="H66" s="99"/>
      <c r="I66" s="99"/>
      <c r="J66" s="99"/>
      <c r="P66" s="85"/>
      <c r="Q66" s="100"/>
    </row>
    <row r="67" spans="2:17" ht="14.4">
      <c r="B67" s="95"/>
      <c r="F67" s="99"/>
      <c r="G67" s="99"/>
      <c r="H67" s="99"/>
      <c r="I67" s="99"/>
      <c r="J67" s="99"/>
      <c r="P67" s="85"/>
      <c r="Q67" s="100"/>
    </row>
    <row r="68" spans="2:17" ht="14.4">
      <c r="B68" s="95"/>
      <c r="F68" s="99"/>
      <c r="G68" s="99"/>
      <c r="H68" s="99"/>
      <c r="I68" s="99"/>
      <c r="J68" s="99"/>
      <c r="P68" s="85"/>
      <c r="Q68" s="100"/>
    </row>
    <row r="69" spans="2:17" ht="14.4">
      <c r="B69" s="95"/>
      <c r="F69" s="99"/>
      <c r="G69" s="99"/>
      <c r="H69" s="99"/>
      <c r="I69" s="99"/>
      <c r="J69" s="99"/>
      <c r="P69" s="85"/>
      <c r="Q69" s="100"/>
    </row>
    <row r="70" spans="2:17" ht="14.4">
      <c r="B70" s="95"/>
      <c r="F70" s="99"/>
      <c r="G70" s="99"/>
      <c r="H70" s="99"/>
      <c r="I70" s="99"/>
      <c r="J70" s="99"/>
      <c r="P70" s="85"/>
      <c r="Q70" s="100"/>
    </row>
    <row r="71" spans="2:17" ht="14.4">
      <c r="B71" s="95"/>
      <c r="F71" s="99"/>
      <c r="G71" s="99"/>
      <c r="H71" s="99"/>
      <c r="I71" s="99"/>
      <c r="J71" s="99"/>
      <c r="P71" s="85"/>
      <c r="Q71" s="100"/>
    </row>
    <row r="72" spans="2:17" ht="14.4">
      <c r="B72" s="95"/>
      <c r="F72" s="99"/>
      <c r="G72" s="99"/>
      <c r="H72" s="99"/>
      <c r="I72" s="99"/>
      <c r="J72" s="99"/>
      <c r="P72" s="85"/>
      <c r="Q72" s="100"/>
    </row>
    <row r="73" spans="2:17" ht="14.4">
      <c r="B73" s="95"/>
      <c r="F73" s="99"/>
      <c r="G73" s="99"/>
      <c r="H73" s="99"/>
      <c r="I73" s="99"/>
      <c r="J73" s="99"/>
      <c r="P73" s="85"/>
      <c r="Q73" s="100"/>
    </row>
    <row r="74" spans="2:17" ht="14.4">
      <c r="B74" s="95"/>
      <c r="F74" s="99"/>
      <c r="G74" s="99"/>
      <c r="H74" s="99"/>
      <c r="I74" s="99"/>
      <c r="J74" s="99"/>
      <c r="P74" s="85"/>
      <c r="Q74" s="100"/>
    </row>
    <row r="75" spans="2:17" ht="14.4">
      <c r="B75" s="95"/>
      <c r="F75" s="99"/>
      <c r="G75" s="99"/>
      <c r="H75" s="99"/>
      <c r="I75" s="99"/>
      <c r="J75" s="99"/>
      <c r="P75" s="85"/>
      <c r="Q75" s="100"/>
    </row>
    <row r="76" spans="2:17" ht="14.4">
      <c r="B76" s="95"/>
      <c r="F76" s="99"/>
      <c r="G76" s="99"/>
      <c r="H76" s="99"/>
      <c r="I76" s="99"/>
      <c r="J76" s="99"/>
      <c r="P76" s="85"/>
      <c r="Q76" s="100"/>
    </row>
    <row r="77" spans="2:17" ht="14.4">
      <c r="B77" s="95"/>
      <c r="F77" s="99"/>
      <c r="G77" s="99"/>
      <c r="H77" s="99"/>
      <c r="I77" s="99"/>
      <c r="J77" s="99"/>
      <c r="P77" s="85"/>
      <c r="Q77" s="100"/>
    </row>
    <row r="78" spans="2:17" ht="14.4">
      <c r="B78" s="95"/>
      <c r="F78" s="99"/>
      <c r="G78" s="99"/>
      <c r="H78" s="99"/>
      <c r="I78" s="99"/>
      <c r="J78" s="99"/>
      <c r="P78" s="85"/>
      <c r="Q78" s="100"/>
    </row>
    <row r="79" spans="2:17" ht="14.4">
      <c r="B79" s="95"/>
      <c r="F79" s="99"/>
      <c r="G79" s="99"/>
      <c r="H79" s="99"/>
      <c r="I79" s="99"/>
      <c r="J79" s="99"/>
      <c r="P79" s="85"/>
      <c r="Q79" s="100"/>
    </row>
    <row r="80" spans="2:17" ht="14.4">
      <c r="B80" s="95"/>
      <c r="F80" s="99"/>
      <c r="G80" s="99"/>
      <c r="H80" s="99"/>
      <c r="I80" s="99"/>
      <c r="J80" s="99"/>
      <c r="P80" s="85"/>
      <c r="Q80" s="100"/>
    </row>
    <row r="81" spans="2:17" ht="14.4">
      <c r="B81" s="95"/>
      <c r="F81" s="99"/>
      <c r="G81" s="99"/>
      <c r="H81" s="99"/>
      <c r="I81" s="99"/>
      <c r="J81" s="99"/>
      <c r="P81" s="85"/>
      <c r="Q81" s="100"/>
    </row>
    <row r="82" spans="2:17" ht="14.4">
      <c r="B82" s="95"/>
      <c r="F82" s="99"/>
      <c r="G82" s="99"/>
      <c r="H82" s="99"/>
      <c r="I82" s="99"/>
      <c r="J82" s="99"/>
      <c r="P82" s="85"/>
      <c r="Q82" s="100"/>
    </row>
    <row r="83" spans="2:17" ht="14.4">
      <c r="B83" s="95"/>
      <c r="F83" s="99"/>
      <c r="G83" s="99"/>
      <c r="H83" s="99"/>
      <c r="I83" s="99"/>
      <c r="J83" s="99"/>
      <c r="P83" s="85"/>
      <c r="Q83" s="100"/>
    </row>
    <row r="84" spans="2:17" ht="14.4">
      <c r="B84" s="95"/>
      <c r="F84" s="99"/>
      <c r="G84" s="99"/>
      <c r="H84" s="99"/>
      <c r="I84" s="99"/>
      <c r="J84" s="99"/>
      <c r="P84" s="85"/>
      <c r="Q84" s="100"/>
    </row>
    <row r="85" spans="2:17" ht="14.4">
      <c r="B85" s="95"/>
      <c r="F85" s="99"/>
      <c r="G85" s="99"/>
      <c r="H85" s="99"/>
      <c r="I85" s="99"/>
      <c r="J85" s="99"/>
      <c r="P85" s="85"/>
      <c r="Q85" s="100"/>
    </row>
    <row r="86" spans="2:17" ht="14.4">
      <c r="B86" s="95"/>
      <c r="F86" s="99"/>
      <c r="G86" s="99"/>
      <c r="H86" s="99"/>
      <c r="I86" s="99"/>
      <c r="J86" s="99"/>
      <c r="P86" s="85"/>
      <c r="Q86" s="100"/>
    </row>
    <row r="87" spans="2:17" ht="14.4">
      <c r="B87" s="95"/>
      <c r="F87" s="99"/>
      <c r="G87" s="99"/>
      <c r="H87" s="99"/>
      <c r="I87" s="99"/>
      <c r="J87" s="99"/>
      <c r="P87" s="85"/>
      <c r="Q87" s="100"/>
    </row>
    <row r="88" spans="2:17" ht="14.4">
      <c r="B88" s="95"/>
      <c r="F88" s="99"/>
      <c r="G88" s="99"/>
      <c r="H88" s="99"/>
      <c r="I88" s="99"/>
      <c r="J88" s="99"/>
      <c r="P88" s="85"/>
      <c r="Q88" s="100"/>
    </row>
    <row r="89" spans="2:17" ht="14.4">
      <c r="B89" s="95"/>
      <c r="F89" s="99"/>
      <c r="G89" s="99"/>
      <c r="H89" s="99"/>
      <c r="I89" s="99"/>
      <c r="J89" s="99"/>
      <c r="P89" s="85"/>
      <c r="Q89" s="100"/>
    </row>
    <row r="90" spans="2:17" ht="14.4">
      <c r="B90" s="95"/>
      <c r="F90" s="99"/>
      <c r="G90" s="99"/>
      <c r="H90" s="99"/>
      <c r="I90" s="99"/>
      <c r="J90" s="99"/>
      <c r="P90" s="85"/>
      <c r="Q90" s="100"/>
    </row>
    <row r="91" spans="2:17" ht="14.4">
      <c r="B91" s="95"/>
      <c r="F91" s="99"/>
      <c r="G91" s="99"/>
      <c r="H91" s="99"/>
      <c r="I91" s="99"/>
      <c r="J91" s="99"/>
      <c r="P91" s="85"/>
      <c r="Q91" s="100"/>
    </row>
    <row r="92" spans="2:17" ht="14.4">
      <c r="B92" s="95"/>
      <c r="F92" s="99"/>
      <c r="G92" s="99"/>
      <c r="H92" s="99"/>
      <c r="I92" s="99"/>
      <c r="J92" s="99"/>
      <c r="P92" s="85"/>
      <c r="Q92" s="100"/>
    </row>
    <row r="93" spans="2:17" ht="14.4">
      <c r="B93" s="95"/>
      <c r="F93" s="99"/>
      <c r="G93" s="99"/>
      <c r="H93" s="99"/>
      <c r="I93" s="99"/>
      <c r="J93" s="99"/>
      <c r="P93" s="85"/>
      <c r="Q93" s="100"/>
    </row>
    <row r="94" spans="2:17" ht="14.4">
      <c r="B94" s="95"/>
      <c r="F94" s="99"/>
      <c r="G94" s="99"/>
      <c r="H94" s="99"/>
      <c r="I94" s="99"/>
      <c r="J94" s="99"/>
      <c r="P94" s="85"/>
      <c r="Q94" s="100"/>
    </row>
    <row r="95" spans="2:17" ht="14.4">
      <c r="B95" s="95"/>
      <c r="F95" s="99"/>
      <c r="G95" s="99"/>
      <c r="H95" s="99"/>
      <c r="I95" s="99"/>
      <c r="J95" s="99"/>
      <c r="P95" s="85"/>
      <c r="Q95" s="100"/>
    </row>
    <row r="96" spans="2:17" ht="14.4">
      <c r="B96" s="95"/>
      <c r="F96" s="99"/>
      <c r="G96" s="99"/>
      <c r="H96" s="99"/>
      <c r="I96" s="99"/>
      <c r="J96" s="99"/>
      <c r="P96" s="85"/>
      <c r="Q96" s="100"/>
    </row>
    <row r="97" spans="2:17" ht="14.4">
      <c r="B97" s="95"/>
      <c r="F97" s="99"/>
      <c r="G97" s="99"/>
      <c r="H97" s="99"/>
      <c r="I97" s="99"/>
      <c r="J97" s="99"/>
      <c r="P97" s="85"/>
      <c r="Q97" s="100"/>
    </row>
    <row r="98" spans="2:17" ht="14.4">
      <c r="B98" s="95"/>
      <c r="F98" s="99"/>
      <c r="G98" s="99"/>
      <c r="H98" s="99"/>
      <c r="I98" s="99"/>
      <c r="J98" s="99"/>
      <c r="P98" s="85"/>
      <c r="Q98" s="100"/>
    </row>
    <row r="99" spans="2:17" ht="14.4">
      <c r="B99" s="95"/>
      <c r="F99" s="99"/>
      <c r="G99" s="99"/>
      <c r="H99" s="99"/>
      <c r="I99" s="99"/>
      <c r="J99" s="99"/>
      <c r="P99" s="85"/>
      <c r="Q99" s="100"/>
    </row>
    <row r="100" spans="2:17" ht="14.4">
      <c r="B100" s="95"/>
      <c r="F100" s="99"/>
      <c r="G100" s="99"/>
      <c r="H100" s="99"/>
      <c r="I100" s="99"/>
      <c r="J100" s="99"/>
      <c r="P100" s="85"/>
      <c r="Q100" s="100"/>
    </row>
    <row r="101" spans="2:17" ht="14.4">
      <c r="B101" s="95"/>
      <c r="F101" s="99"/>
      <c r="G101" s="99"/>
      <c r="H101" s="99"/>
      <c r="I101" s="99"/>
      <c r="J101" s="99"/>
      <c r="P101" s="85"/>
      <c r="Q101" s="100"/>
    </row>
    <row r="102" spans="2:17" ht="14.4">
      <c r="B102" s="95"/>
      <c r="F102" s="99"/>
      <c r="G102" s="99"/>
      <c r="H102" s="99"/>
      <c r="I102" s="99"/>
      <c r="J102" s="99"/>
      <c r="P102" s="85"/>
      <c r="Q102" s="100"/>
    </row>
    <row r="103" spans="2:17" ht="14.4">
      <c r="B103" s="95"/>
      <c r="F103" s="99"/>
      <c r="G103" s="99"/>
      <c r="H103" s="99"/>
      <c r="I103" s="99"/>
      <c r="J103" s="99"/>
      <c r="P103" s="85"/>
      <c r="Q103" s="100"/>
    </row>
    <row r="104" spans="2:17" ht="14.4">
      <c r="B104" s="95"/>
      <c r="F104" s="99"/>
      <c r="G104" s="99"/>
      <c r="H104" s="99"/>
      <c r="I104" s="99"/>
      <c r="J104" s="99"/>
      <c r="P104" s="85"/>
      <c r="Q104" s="100"/>
    </row>
    <row r="105" spans="2:17" ht="14.4">
      <c r="B105" s="95"/>
      <c r="F105" s="99"/>
      <c r="G105" s="99"/>
      <c r="H105" s="99"/>
      <c r="I105" s="99"/>
      <c r="J105" s="99"/>
      <c r="P105" s="85"/>
      <c r="Q105" s="100"/>
    </row>
    <row r="106" spans="2:17" ht="14.4">
      <c r="B106" s="95"/>
      <c r="F106" s="99"/>
      <c r="G106" s="99"/>
      <c r="H106" s="99"/>
      <c r="I106" s="99"/>
      <c r="J106" s="99"/>
      <c r="P106" s="85"/>
      <c r="Q106" s="100"/>
    </row>
    <row r="107" spans="2:17" ht="14.4">
      <c r="B107" s="95"/>
      <c r="F107" s="99"/>
      <c r="G107" s="99"/>
      <c r="H107" s="99"/>
      <c r="I107" s="99"/>
      <c r="J107" s="99"/>
      <c r="P107" s="85"/>
      <c r="Q107" s="100"/>
    </row>
    <row r="108" spans="2:17" ht="14.4">
      <c r="B108" s="95"/>
      <c r="F108" s="99"/>
      <c r="G108" s="99"/>
      <c r="H108" s="99"/>
      <c r="I108" s="99"/>
      <c r="J108" s="99"/>
      <c r="P108" s="85"/>
      <c r="Q108" s="100"/>
    </row>
    <row r="109" spans="2:17" ht="14.4">
      <c r="B109" s="95"/>
      <c r="F109" s="99"/>
      <c r="G109" s="99"/>
      <c r="H109" s="99"/>
      <c r="I109" s="99"/>
      <c r="J109" s="99"/>
      <c r="P109" s="85"/>
      <c r="Q109" s="100"/>
    </row>
    <row r="110" spans="2:17" ht="14.4">
      <c r="B110" s="95"/>
      <c r="F110" s="99"/>
      <c r="G110" s="99"/>
      <c r="H110" s="99"/>
      <c r="I110" s="99"/>
      <c r="J110" s="99"/>
      <c r="P110" s="85"/>
      <c r="Q110" s="100"/>
    </row>
    <row r="111" spans="2:17" ht="14.4">
      <c r="B111" s="95"/>
      <c r="F111" s="99"/>
      <c r="G111" s="99"/>
      <c r="H111" s="99"/>
      <c r="I111" s="99"/>
      <c r="J111" s="99"/>
      <c r="P111" s="85"/>
      <c r="Q111" s="100"/>
    </row>
    <row r="112" spans="2:17" ht="14.4">
      <c r="B112" s="95"/>
      <c r="F112" s="99"/>
      <c r="G112" s="99"/>
      <c r="H112" s="99"/>
      <c r="I112" s="99"/>
      <c r="J112" s="99"/>
      <c r="P112" s="85"/>
      <c r="Q112" s="100"/>
    </row>
    <row r="113" spans="2:17" ht="14.4">
      <c r="B113" s="95"/>
      <c r="F113" s="99"/>
      <c r="G113" s="99"/>
      <c r="H113" s="99"/>
      <c r="I113" s="99"/>
      <c r="J113" s="99"/>
      <c r="P113" s="85"/>
      <c r="Q113" s="100"/>
    </row>
    <row r="114" spans="2:17" ht="14.4">
      <c r="B114" s="95"/>
      <c r="F114" s="99"/>
      <c r="G114" s="99"/>
      <c r="H114" s="99"/>
      <c r="I114" s="99"/>
      <c r="J114" s="99"/>
      <c r="P114" s="85"/>
      <c r="Q114" s="100"/>
    </row>
    <row r="115" spans="2:17" ht="14.4">
      <c r="B115" s="95"/>
      <c r="F115" s="99"/>
      <c r="G115" s="99"/>
      <c r="H115" s="99"/>
      <c r="I115" s="99"/>
      <c r="J115" s="99"/>
      <c r="P115" s="85"/>
      <c r="Q115" s="100"/>
    </row>
    <row r="116" spans="2:17" ht="14.4">
      <c r="B116" s="95"/>
      <c r="F116" s="99"/>
      <c r="G116" s="99"/>
      <c r="H116" s="99"/>
      <c r="I116" s="99"/>
      <c r="J116" s="99"/>
      <c r="P116" s="85"/>
      <c r="Q116" s="100"/>
    </row>
    <row r="117" spans="2:17" ht="14.4">
      <c r="B117" s="95"/>
      <c r="F117" s="99"/>
      <c r="G117" s="99"/>
      <c r="H117" s="99"/>
      <c r="I117" s="99"/>
      <c r="J117" s="99"/>
      <c r="P117" s="85"/>
      <c r="Q117" s="100"/>
    </row>
    <row r="118" spans="2:17" ht="14.4">
      <c r="B118" s="95"/>
      <c r="F118" s="99"/>
      <c r="G118" s="99"/>
      <c r="H118" s="99"/>
      <c r="I118" s="99"/>
      <c r="J118" s="99"/>
      <c r="P118" s="85"/>
      <c r="Q118" s="100"/>
    </row>
    <row r="119" spans="2:17" ht="14.4">
      <c r="B119" s="95"/>
      <c r="F119" s="99"/>
      <c r="G119" s="99"/>
      <c r="H119" s="99"/>
      <c r="I119" s="99"/>
      <c r="J119" s="99"/>
      <c r="P119" s="85"/>
      <c r="Q119" s="100"/>
    </row>
    <row r="120" spans="2:17" ht="14.4">
      <c r="B120" s="95"/>
      <c r="F120" s="99"/>
      <c r="G120" s="99"/>
      <c r="H120" s="99"/>
      <c r="I120" s="99"/>
      <c r="J120" s="99"/>
      <c r="P120" s="85"/>
      <c r="Q120" s="100"/>
    </row>
    <row r="121" spans="2:17" ht="14.4">
      <c r="B121" s="95"/>
      <c r="F121" s="99"/>
      <c r="G121" s="99"/>
      <c r="H121" s="99"/>
      <c r="I121" s="99"/>
      <c r="J121" s="99"/>
      <c r="P121" s="85"/>
      <c r="Q121" s="100"/>
    </row>
    <row r="122" spans="2:17" ht="14.4">
      <c r="B122" s="95"/>
      <c r="F122" s="99"/>
      <c r="G122" s="99"/>
      <c r="H122" s="99"/>
      <c r="I122" s="99"/>
      <c r="J122" s="99"/>
      <c r="P122" s="85"/>
      <c r="Q122" s="100"/>
    </row>
    <row r="123" spans="2:17" ht="14.4">
      <c r="B123" s="95"/>
      <c r="F123" s="99"/>
      <c r="G123" s="99"/>
      <c r="H123" s="99"/>
      <c r="I123" s="99"/>
      <c r="J123" s="99"/>
      <c r="P123" s="85"/>
      <c r="Q123" s="100"/>
    </row>
    <row r="124" spans="2:17" ht="14.4">
      <c r="B124" s="95"/>
      <c r="F124" s="99"/>
      <c r="G124" s="99"/>
      <c r="H124" s="99"/>
      <c r="I124" s="99"/>
      <c r="J124" s="99"/>
      <c r="P124" s="85"/>
      <c r="Q124" s="100"/>
    </row>
    <row r="125" spans="2:17" ht="14.4">
      <c r="B125" s="95"/>
      <c r="F125" s="99"/>
      <c r="G125" s="99"/>
      <c r="H125" s="99"/>
      <c r="I125" s="99"/>
      <c r="J125" s="99"/>
      <c r="P125" s="85"/>
      <c r="Q125" s="100"/>
    </row>
    <row r="126" spans="2:17" ht="14.4">
      <c r="B126" s="95"/>
      <c r="F126" s="99"/>
      <c r="G126" s="99"/>
      <c r="H126" s="99"/>
      <c r="I126" s="99"/>
      <c r="J126" s="99"/>
      <c r="P126" s="85"/>
      <c r="Q126" s="100"/>
    </row>
    <row r="127" spans="2:17" ht="14.4">
      <c r="B127" s="95"/>
      <c r="F127" s="99"/>
      <c r="G127" s="99"/>
      <c r="H127" s="99"/>
      <c r="I127" s="99"/>
      <c r="J127" s="99"/>
      <c r="P127" s="85"/>
      <c r="Q127" s="100"/>
    </row>
    <row r="128" spans="2:17" ht="14.4">
      <c r="B128" s="95"/>
      <c r="F128" s="99"/>
      <c r="G128" s="99"/>
      <c r="H128" s="99"/>
      <c r="I128" s="99"/>
      <c r="J128" s="99"/>
      <c r="P128" s="85"/>
      <c r="Q128" s="100"/>
    </row>
    <row r="129" spans="2:17" ht="14.4">
      <c r="B129" s="95"/>
      <c r="F129" s="99"/>
      <c r="G129" s="99"/>
      <c r="H129" s="99"/>
      <c r="I129" s="99"/>
      <c r="J129" s="99"/>
      <c r="P129" s="85"/>
      <c r="Q129" s="100"/>
    </row>
    <row r="130" spans="2:17" ht="14.4">
      <c r="B130" s="95"/>
      <c r="F130" s="99"/>
      <c r="G130" s="99"/>
      <c r="H130" s="99"/>
      <c r="I130" s="99"/>
      <c r="J130" s="99"/>
      <c r="P130" s="85"/>
      <c r="Q130" s="100"/>
    </row>
    <row r="131" spans="2:17" ht="14.4">
      <c r="B131" s="95"/>
      <c r="F131" s="99"/>
      <c r="G131" s="99"/>
      <c r="H131" s="99"/>
      <c r="I131" s="99"/>
      <c r="J131" s="99"/>
      <c r="P131" s="85"/>
      <c r="Q131" s="100"/>
    </row>
    <row r="132" spans="2:17" ht="14.4">
      <c r="B132" s="95"/>
      <c r="F132" s="99"/>
      <c r="G132" s="99"/>
      <c r="H132" s="99"/>
      <c r="I132" s="99"/>
      <c r="J132" s="99"/>
      <c r="P132" s="85"/>
      <c r="Q132" s="100"/>
    </row>
    <row r="133" spans="2:17" ht="14.4">
      <c r="B133" s="95"/>
      <c r="F133" s="99"/>
      <c r="G133" s="99"/>
      <c r="H133" s="99"/>
      <c r="I133" s="99"/>
      <c r="J133" s="99"/>
      <c r="P133" s="85"/>
      <c r="Q133" s="100"/>
    </row>
    <row r="134" spans="2:17" ht="14.4">
      <c r="B134" s="95"/>
      <c r="F134" s="99"/>
      <c r="G134" s="99"/>
      <c r="H134" s="99"/>
      <c r="I134" s="99"/>
      <c r="J134" s="99"/>
      <c r="P134" s="85"/>
      <c r="Q134" s="100"/>
    </row>
    <row r="135" spans="2:17" ht="14.4">
      <c r="B135" s="95"/>
      <c r="F135" s="99"/>
      <c r="G135" s="99"/>
      <c r="H135" s="99"/>
      <c r="I135" s="99"/>
      <c r="J135" s="99"/>
      <c r="P135" s="85"/>
      <c r="Q135" s="100"/>
    </row>
    <row r="136" spans="2:17" ht="14.4">
      <c r="B136" s="95"/>
      <c r="F136" s="99"/>
      <c r="G136" s="99"/>
      <c r="H136" s="99"/>
      <c r="I136" s="99"/>
      <c r="J136" s="99"/>
      <c r="P136" s="85"/>
      <c r="Q136" s="100"/>
    </row>
    <row r="137" spans="2:17" ht="14.4">
      <c r="B137" s="95"/>
      <c r="F137" s="99"/>
      <c r="G137" s="99"/>
      <c r="H137" s="99"/>
      <c r="I137" s="99"/>
      <c r="J137" s="99"/>
      <c r="P137" s="85"/>
      <c r="Q137" s="100"/>
    </row>
    <row r="138" spans="2:17" ht="14.4">
      <c r="B138" s="95"/>
      <c r="F138" s="99"/>
      <c r="G138" s="99"/>
      <c r="H138" s="99"/>
      <c r="I138" s="99"/>
      <c r="J138" s="99"/>
      <c r="P138" s="85"/>
      <c r="Q138" s="100"/>
    </row>
    <row r="139" spans="2:17" ht="14.4">
      <c r="B139" s="95"/>
      <c r="F139" s="99"/>
      <c r="G139" s="99"/>
      <c r="H139" s="99"/>
      <c r="I139" s="99"/>
      <c r="J139" s="99"/>
      <c r="P139" s="85"/>
      <c r="Q139" s="100"/>
    </row>
    <row r="140" spans="2:17" ht="14.4">
      <c r="B140" s="95"/>
      <c r="F140" s="99"/>
      <c r="G140" s="99"/>
      <c r="H140" s="99"/>
      <c r="I140" s="99"/>
      <c r="J140" s="99"/>
      <c r="P140" s="85"/>
      <c r="Q140" s="100"/>
    </row>
    <row r="141" spans="2:17" ht="14.4">
      <c r="B141" s="95"/>
      <c r="F141" s="99"/>
      <c r="G141" s="99"/>
      <c r="H141" s="99"/>
      <c r="I141" s="99"/>
      <c r="J141" s="99"/>
      <c r="P141" s="85"/>
      <c r="Q141" s="100"/>
    </row>
    <row r="142" spans="2:17" ht="14.4">
      <c r="B142" s="95"/>
      <c r="F142" s="99"/>
      <c r="G142" s="99"/>
      <c r="H142" s="99"/>
      <c r="I142" s="99"/>
      <c r="J142" s="99"/>
      <c r="P142" s="85"/>
      <c r="Q142" s="100"/>
    </row>
    <row r="143" spans="2:17" ht="14.4">
      <c r="B143" s="95"/>
      <c r="F143" s="99"/>
      <c r="G143" s="99"/>
      <c r="H143" s="99"/>
      <c r="I143" s="99"/>
      <c r="J143" s="99"/>
      <c r="P143" s="85"/>
      <c r="Q143" s="100"/>
    </row>
    <row r="144" spans="2:17" ht="14.4">
      <c r="B144" s="95"/>
      <c r="F144" s="99"/>
      <c r="G144" s="99"/>
      <c r="H144" s="99"/>
      <c r="I144" s="99"/>
      <c r="J144" s="99"/>
      <c r="P144" s="85"/>
      <c r="Q144" s="100"/>
    </row>
    <row r="145" spans="2:17" ht="14.4">
      <c r="B145" s="95"/>
      <c r="F145" s="99"/>
      <c r="G145" s="99"/>
      <c r="H145" s="99"/>
      <c r="I145" s="99"/>
      <c r="J145" s="99"/>
      <c r="P145" s="85"/>
      <c r="Q145" s="100"/>
    </row>
    <row r="146" spans="2:17" ht="14.4">
      <c r="B146" s="95"/>
      <c r="F146" s="99"/>
      <c r="G146" s="99"/>
      <c r="H146" s="99"/>
      <c r="I146" s="99"/>
      <c r="J146" s="99"/>
      <c r="P146" s="85"/>
      <c r="Q146" s="100"/>
    </row>
    <row r="147" spans="2:17" ht="14.4">
      <c r="B147" s="95"/>
      <c r="F147" s="99"/>
      <c r="G147" s="99"/>
      <c r="H147" s="99"/>
      <c r="I147" s="99"/>
      <c r="J147" s="99"/>
      <c r="P147" s="85"/>
      <c r="Q147" s="100"/>
    </row>
    <row r="148" spans="2:17" ht="14.4">
      <c r="B148" s="95"/>
      <c r="F148" s="99"/>
      <c r="G148" s="99"/>
      <c r="H148" s="99"/>
      <c r="I148" s="99"/>
      <c r="J148" s="99"/>
      <c r="P148" s="85"/>
      <c r="Q148" s="100"/>
    </row>
    <row r="149" spans="2:17" ht="14.4">
      <c r="B149" s="95"/>
      <c r="F149" s="99"/>
      <c r="G149" s="99"/>
      <c r="H149" s="99"/>
      <c r="I149" s="99"/>
      <c r="J149" s="99"/>
      <c r="P149" s="85"/>
      <c r="Q149" s="100"/>
    </row>
    <row r="150" spans="2:17" ht="14.4">
      <c r="B150" s="95"/>
      <c r="F150" s="99"/>
      <c r="G150" s="99"/>
      <c r="H150" s="99"/>
      <c r="I150" s="99"/>
      <c r="J150" s="99"/>
      <c r="P150" s="85"/>
      <c r="Q150" s="100"/>
    </row>
    <row r="151" spans="2:17" ht="14.4">
      <c r="B151" s="95"/>
      <c r="F151" s="99"/>
      <c r="G151" s="99"/>
      <c r="H151" s="99"/>
      <c r="I151" s="99"/>
      <c r="J151" s="99"/>
      <c r="P151" s="85"/>
      <c r="Q151" s="100"/>
    </row>
    <row r="152" spans="2:17" ht="14.4">
      <c r="B152" s="95"/>
      <c r="F152" s="99"/>
      <c r="G152" s="99"/>
      <c r="H152" s="99"/>
      <c r="I152" s="99"/>
      <c r="J152" s="99"/>
      <c r="P152" s="85"/>
      <c r="Q152" s="100"/>
    </row>
    <row r="153" spans="2:17" ht="14.4">
      <c r="B153" s="95"/>
      <c r="F153" s="99"/>
      <c r="G153" s="99"/>
      <c r="H153" s="99"/>
      <c r="I153" s="99"/>
      <c r="J153" s="99"/>
      <c r="P153" s="85"/>
      <c r="Q153" s="100"/>
    </row>
    <row r="154" spans="2:17" ht="14.4">
      <c r="B154" s="95"/>
      <c r="F154" s="99"/>
      <c r="G154" s="99"/>
      <c r="H154" s="99"/>
      <c r="I154" s="99"/>
      <c r="J154" s="99"/>
      <c r="P154" s="85"/>
      <c r="Q154" s="100"/>
    </row>
    <row r="155" spans="2:17" ht="14.4">
      <c r="B155" s="95"/>
      <c r="F155" s="99"/>
      <c r="G155" s="99"/>
      <c r="H155" s="99"/>
      <c r="I155" s="99"/>
      <c r="J155" s="99"/>
      <c r="P155" s="85"/>
      <c r="Q155" s="100"/>
    </row>
    <row r="156" spans="2:17" ht="14.4">
      <c r="B156" s="95"/>
      <c r="F156" s="99"/>
      <c r="G156" s="99"/>
      <c r="H156" s="99"/>
      <c r="I156" s="99"/>
      <c r="J156" s="99"/>
      <c r="P156" s="85"/>
      <c r="Q156" s="100"/>
    </row>
    <row r="157" spans="2:17" ht="14.4">
      <c r="B157" s="95"/>
      <c r="F157" s="99"/>
      <c r="G157" s="99"/>
      <c r="H157" s="99"/>
      <c r="I157" s="99"/>
      <c r="J157" s="99"/>
      <c r="P157" s="85"/>
      <c r="Q157" s="100"/>
    </row>
    <row r="158" spans="2:17" ht="14.4">
      <c r="B158" s="95"/>
      <c r="F158" s="99"/>
      <c r="G158" s="99"/>
      <c r="H158" s="99"/>
      <c r="I158" s="99"/>
      <c r="J158" s="99"/>
      <c r="P158" s="85"/>
      <c r="Q158" s="100"/>
    </row>
    <row r="159" spans="2:17" ht="14.4">
      <c r="B159" s="95"/>
      <c r="F159" s="99"/>
      <c r="G159" s="99"/>
      <c r="H159" s="99"/>
      <c r="I159" s="99"/>
      <c r="J159" s="99"/>
      <c r="P159" s="85"/>
      <c r="Q159" s="100"/>
    </row>
    <row r="160" spans="2:17" ht="14.4">
      <c r="B160" s="95"/>
      <c r="F160" s="99"/>
      <c r="G160" s="99"/>
      <c r="H160" s="99"/>
      <c r="I160" s="99"/>
      <c r="J160" s="99"/>
      <c r="P160" s="85"/>
      <c r="Q160" s="100"/>
    </row>
    <row r="161" spans="2:17" ht="14.4">
      <c r="B161" s="95"/>
      <c r="F161" s="99"/>
      <c r="G161" s="99"/>
      <c r="H161" s="99"/>
      <c r="I161" s="99"/>
      <c r="J161" s="99"/>
      <c r="P161" s="85"/>
      <c r="Q161" s="100"/>
    </row>
    <row r="162" spans="2:17" ht="14.4">
      <c r="B162" s="95"/>
      <c r="F162" s="99"/>
      <c r="G162" s="99"/>
      <c r="H162" s="99"/>
      <c r="I162" s="99"/>
      <c r="J162" s="99"/>
      <c r="P162" s="85"/>
      <c r="Q162" s="100"/>
    </row>
    <row r="163" spans="2:17" ht="14.4">
      <c r="B163" s="95"/>
      <c r="F163" s="99"/>
      <c r="G163" s="99"/>
      <c r="H163" s="99"/>
      <c r="I163" s="99"/>
      <c r="J163" s="99"/>
      <c r="P163" s="85"/>
      <c r="Q163" s="100"/>
    </row>
    <row r="164" spans="2:17" ht="14.4">
      <c r="B164" s="95"/>
      <c r="F164" s="99"/>
      <c r="G164" s="99"/>
      <c r="H164" s="99"/>
      <c r="I164" s="99"/>
      <c r="J164" s="99"/>
      <c r="P164" s="85"/>
      <c r="Q164" s="100"/>
    </row>
    <row r="165" spans="2:17" ht="14.4">
      <c r="B165" s="95"/>
      <c r="F165" s="99"/>
      <c r="G165" s="99"/>
      <c r="H165" s="99"/>
      <c r="I165" s="99"/>
      <c r="J165" s="99"/>
      <c r="P165" s="85"/>
      <c r="Q165" s="100"/>
    </row>
    <row r="166" spans="2:17" ht="14.4">
      <c r="B166" s="95"/>
      <c r="F166" s="99"/>
      <c r="G166" s="99"/>
      <c r="H166" s="99"/>
      <c r="I166" s="99"/>
      <c r="J166" s="99"/>
      <c r="P166" s="85"/>
      <c r="Q166" s="100"/>
    </row>
    <row r="167" spans="2:17" ht="14.4">
      <c r="B167" s="95"/>
      <c r="F167" s="99"/>
      <c r="G167" s="99"/>
      <c r="H167" s="99"/>
      <c r="I167" s="99"/>
      <c r="J167" s="99"/>
      <c r="P167" s="85"/>
      <c r="Q167" s="100"/>
    </row>
    <row r="168" spans="2:17" ht="14.4">
      <c r="B168" s="95"/>
      <c r="F168" s="99"/>
      <c r="G168" s="99"/>
      <c r="H168" s="99"/>
      <c r="I168" s="99"/>
      <c r="J168" s="99"/>
      <c r="P168" s="85"/>
      <c r="Q168" s="100"/>
    </row>
    <row r="169" spans="2:17" ht="14.4">
      <c r="B169" s="95"/>
      <c r="F169" s="99"/>
      <c r="G169" s="99"/>
      <c r="H169" s="99"/>
      <c r="I169" s="99"/>
      <c r="J169" s="99"/>
      <c r="P169" s="85"/>
      <c r="Q169" s="100"/>
    </row>
    <row r="170" spans="2:17" ht="14.4">
      <c r="B170" s="95"/>
      <c r="F170" s="99"/>
      <c r="G170" s="99"/>
      <c r="H170" s="99"/>
      <c r="I170" s="99"/>
      <c r="J170" s="99"/>
      <c r="P170" s="85"/>
      <c r="Q170" s="100"/>
    </row>
    <row r="171" spans="2:17" ht="14.4">
      <c r="B171" s="95"/>
      <c r="F171" s="99"/>
      <c r="G171" s="99"/>
      <c r="H171" s="99"/>
      <c r="I171" s="99"/>
      <c r="J171" s="99"/>
      <c r="P171" s="85"/>
      <c r="Q171" s="100"/>
    </row>
    <row r="172" spans="2:17" ht="14.4">
      <c r="B172" s="95"/>
      <c r="F172" s="99"/>
      <c r="G172" s="99"/>
      <c r="H172" s="99"/>
      <c r="I172" s="99"/>
      <c r="J172" s="99"/>
      <c r="P172" s="85"/>
      <c r="Q172" s="100"/>
    </row>
    <row r="173" spans="2:17" ht="14.4">
      <c r="B173" s="95"/>
      <c r="F173" s="99"/>
      <c r="G173" s="99"/>
      <c r="H173" s="99"/>
      <c r="I173" s="99"/>
      <c r="J173" s="99"/>
      <c r="P173" s="85"/>
      <c r="Q173" s="100"/>
    </row>
    <row r="174" spans="2:17" ht="14.4">
      <c r="B174" s="95"/>
      <c r="F174" s="99"/>
      <c r="G174" s="99"/>
      <c r="H174" s="99"/>
      <c r="I174" s="99"/>
      <c r="J174" s="99"/>
      <c r="P174" s="85"/>
      <c r="Q174" s="100"/>
    </row>
    <row r="175" spans="2:17" ht="14.4">
      <c r="B175" s="95"/>
      <c r="F175" s="99"/>
      <c r="G175" s="99"/>
      <c r="H175" s="99"/>
      <c r="I175" s="99"/>
      <c r="J175" s="99"/>
      <c r="P175" s="85"/>
      <c r="Q175" s="100"/>
    </row>
    <row r="176" spans="2:17" ht="14.4">
      <c r="B176" s="95"/>
      <c r="F176" s="99"/>
      <c r="G176" s="99"/>
      <c r="H176" s="99"/>
      <c r="I176" s="99"/>
      <c r="J176" s="99"/>
      <c r="P176" s="85"/>
      <c r="Q176" s="100"/>
    </row>
    <row r="177" spans="2:17" ht="14.4">
      <c r="B177" s="95"/>
      <c r="F177" s="99"/>
      <c r="G177" s="99"/>
      <c r="H177" s="99"/>
      <c r="I177" s="99"/>
      <c r="J177" s="99"/>
      <c r="P177" s="85"/>
      <c r="Q177" s="100"/>
    </row>
    <row r="178" spans="2:17" ht="14.4">
      <c r="B178" s="95"/>
      <c r="F178" s="99"/>
      <c r="G178" s="99"/>
      <c r="H178" s="99"/>
      <c r="I178" s="99"/>
      <c r="J178" s="99"/>
      <c r="P178" s="85"/>
      <c r="Q178" s="100"/>
    </row>
    <row r="179" spans="2:17" ht="14.4">
      <c r="B179" s="95"/>
      <c r="F179" s="99"/>
      <c r="G179" s="99"/>
      <c r="H179" s="99"/>
      <c r="I179" s="99"/>
      <c r="J179" s="99"/>
      <c r="P179" s="85"/>
      <c r="Q179" s="100"/>
    </row>
    <row r="180" spans="2:17" ht="14.4">
      <c r="B180" s="95"/>
      <c r="F180" s="99"/>
      <c r="G180" s="99"/>
      <c r="H180" s="99"/>
      <c r="I180" s="99"/>
      <c r="J180" s="99"/>
      <c r="P180" s="85"/>
      <c r="Q180" s="100"/>
    </row>
    <row r="181" spans="2:17" ht="14.4">
      <c r="B181" s="95"/>
      <c r="F181" s="99"/>
      <c r="G181" s="99"/>
      <c r="H181" s="99"/>
      <c r="I181" s="99"/>
      <c r="J181" s="99"/>
      <c r="P181" s="85"/>
      <c r="Q181" s="100"/>
    </row>
    <row r="182" spans="2:17" ht="14.4">
      <c r="B182" s="95"/>
      <c r="F182" s="99"/>
      <c r="G182" s="99"/>
      <c r="H182" s="99"/>
      <c r="I182" s="99"/>
      <c r="J182" s="99"/>
      <c r="P182" s="85"/>
      <c r="Q182" s="100"/>
    </row>
    <row r="183" spans="2:17" ht="14.4">
      <c r="B183" s="95"/>
      <c r="F183" s="99"/>
      <c r="G183" s="99"/>
      <c r="H183" s="99"/>
      <c r="I183" s="99"/>
      <c r="J183" s="99"/>
      <c r="P183" s="85"/>
      <c r="Q183" s="100"/>
    </row>
    <row r="184" spans="2:17" ht="14.4">
      <c r="B184" s="95"/>
      <c r="F184" s="99"/>
      <c r="G184" s="99"/>
      <c r="H184" s="99"/>
      <c r="I184" s="99"/>
      <c r="J184" s="99"/>
      <c r="P184" s="85"/>
      <c r="Q184" s="100"/>
    </row>
    <row r="185" spans="2:17" ht="14.4">
      <c r="B185" s="95"/>
      <c r="F185" s="99"/>
      <c r="G185" s="99"/>
      <c r="H185" s="99"/>
      <c r="I185" s="99"/>
      <c r="J185" s="99"/>
      <c r="P185" s="85"/>
      <c r="Q185" s="100"/>
    </row>
    <row r="186" spans="2:17" ht="14.4">
      <c r="B186" s="95"/>
      <c r="F186" s="99"/>
      <c r="G186" s="99"/>
      <c r="H186" s="99"/>
      <c r="I186" s="99"/>
      <c r="J186" s="99"/>
      <c r="P186" s="85"/>
      <c r="Q186" s="100"/>
    </row>
    <row r="187" spans="2:17" ht="14.4">
      <c r="B187" s="95"/>
      <c r="F187" s="99"/>
      <c r="G187" s="99"/>
      <c r="H187" s="99"/>
      <c r="I187" s="99"/>
      <c r="J187" s="99"/>
      <c r="P187" s="85"/>
      <c r="Q187" s="100"/>
    </row>
    <row r="188" spans="2:17" ht="14.4">
      <c r="B188" s="95"/>
      <c r="F188" s="99"/>
      <c r="G188" s="99"/>
      <c r="H188" s="99"/>
      <c r="I188" s="99"/>
      <c r="J188" s="99"/>
      <c r="P188" s="85"/>
      <c r="Q188" s="100"/>
    </row>
    <row r="189" spans="2:17" ht="14.4">
      <c r="B189" s="95"/>
      <c r="F189" s="99"/>
      <c r="G189" s="99"/>
      <c r="H189" s="99"/>
      <c r="I189" s="99"/>
      <c r="J189" s="99"/>
      <c r="P189" s="85"/>
      <c r="Q189" s="100"/>
    </row>
    <row r="190" spans="2:17" ht="14.4">
      <c r="B190" s="95"/>
      <c r="F190" s="99"/>
      <c r="G190" s="99"/>
      <c r="H190" s="99"/>
      <c r="I190" s="99"/>
      <c r="J190" s="99"/>
      <c r="P190" s="85"/>
      <c r="Q190" s="100"/>
    </row>
    <row r="191" spans="2:17" ht="14.4">
      <c r="B191" s="95"/>
      <c r="F191" s="99"/>
      <c r="G191" s="99"/>
      <c r="H191" s="99"/>
      <c r="I191" s="99"/>
      <c r="J191" s="99"/>
      <c r="P191" s="85"/>
      <c r="Q191" s="100"/>
    </row>
    <row r="192" spans="2:17" ht="14.4">
      <c r="B192" s="95"/>
      <c r="F192" s="99"/>
      <c r="G192" s="99"/>
      <c r="H192" s="99"/>
      <c r="I192" s="99"/>
      <c r="J192" s="99"/>
      <c r="P192" s="85"/>
      <c r="Q192" s="100"/>
    </row>
    <row r="193" spans="2:17" ht="14.4">
      <c r="B193" s="95"/>
      <c r="F193" s="99"/>
      <c r="G193" s="99"/>
      <c r="H193" s="99"/>
      <c r="I193" s="99"/>
      <c r="J193" s="99"/>
      <c r="P193" s="85"/>
      <c r="Q193" s="100"/>
    </row>
    <row r="194" spans="2:17" ht="14.4">
      <c r="B194" s="95"/>
      <c r="F194" s="99"/>
      <c r="G194" s="99"/>
      <c r="H194" s="99"/>
      <c r="I194" s="99"/>
      <c r="J194" s="99"/>
      <c r="P194" s="85"/>
      <c r="Q194" s="100"/>
    </row>
    <row r="195" spans="2:17" ht="14.4">
      <c r="B195" s="95"/>
      <c r="F195" s="99"/>
      <c r="G195" s="99"/>
      <c r="H195" s="99"/>
      <c r="I195" s="99"/>
      <c r="J195" s="99"/>
      <c r="P195" s="85"/>
      <c r="Q195" s="100"/>
    </row>
    <row r="196" spans="2:17" ht="14.4">
      <c r="B196" s="95"/>
      <c r="F196" s="99"/>
      <c r="G196" s="99"/>
      <c r="H196" s="99"/>
      <c r="I196" s="99"/>
      <c r="J196" s="99"/>
      <c r="P196" s="85"/>
      <c r="Q196" s="100"/>
    </row>
    <row r="197" spans="2:17" ht="14.4">
      <c r="B197" s="95"/>
      <c r="F197" s="99"/>
      <c r="G197" s="99"/>
      <c r="H197" s="99"/>
      <c r="I197" s="99"/>
      <c r="J197" s="99"/>
      <c r="P197" s="85"/>
      <c r="Q197" s="100"/>
    </row>
    <row r="198" spans="2:17" ht="14.4">
      <c r="B198" s="95"/>
      <c r="F198" s="99"/>
      <c r="G198" s="99"/>
      <c r="H198" s="99"/>
      <c r="I198" s="99"/>
      <c r="J198" s="99"/>
      <c r="P198" s="85"/>
      <c r="Q198" s="100"/>
    </row>
    <row r="199" spans="2:17" ht="14.4">
      <c r="B199" s="95"/>
      <c r="F199" s="99"/>
      <c r="G199" s="99"/>
      <c r="H199" s="99"/>
      <c r="I199" s="99"/>
      <c r="J199" s="99"/>
      <c r="P199" s="85"/>
      <c r="Q199" s="100"/>
    </row>
    <row r="200" spans="2:17" ht="14.4">
      <c r="B200" s="95"/>
      <c r="F200" s="99"/>
      <c r="G200" s="99"/>
      <c r="H200" s="99"/>
      <c r="I200" s="99"/>
      <c r="J200" s="99"/>
      <c r="P200" s="85"/>
      <c r="Q200" s="100"/>
    </row>
    <row r="201" spans="2:17" ht="14.4">
      <c r="B201" s="95"/>
      <c r="F201" s="99"/>
      <c r="G201" s="99"/>
      <c r="H201" s="99"/>
      <c r="I201" s="99"/>
      <c r="J201" s="99"/>
      <c r="P201" s="85"/>
      <c r="Q201" s="100"/>
    </row>
    <row r="202" spans="2:17" ht="14.4">
      <c r="B202" s="95"/>
      <c r="F202" s="99"/>
      <c r="G202" s="99"/>
      <c r="H202" s="99"/>
      <c r="I202" s="99"/>
      <c r="J202" s="99"/>
      <c r="P202" s="85"/>
      <c r="Q202" s="100"/>
    </row>
    <row r="203" spans="2:17" ht="14.4">
      <c r="B203" s="95"/>
      <c r="F203" s="99"/>
      <c r="G203" s="99"/>
      <c r="H203" s="99"/>
      <c r="I203" s="99"/>
      <c r="J203" s="99"/>
      <c r="P203" s="85"/>
      <c r="Q203" s="100"/>
    </row>
    <row r="204" spans="2:17" ht="14.4">
      <c r="B204" s="95"/>
      <c r="F204" s="99"/>
      <c r="G204" s="99"/>
      <c r="H204" s="99"/>
      <c r="I204" s="99"/>
      <c r="J204" s="99"/>
      <c r="P204" s="85"/>
      <c r="Q204" s="100"/>
    </row>
    <row r="205" spans="2:17" ht="14.4">
      <c r="B205" s="95"/>
      <c r="F205" s="99"/>
      <c r="G205" s="99"/>
      <c r="H205" s="99"/>
      <c r="I205" s="99"/>
      <c r="J205" s="99"/>
      <c r="P205" s="85"/>
      <c r="Q205" s="100"/>
    </row>
    <row r="206" spans="2:17" ht="14.4">
      <c r="B206" s="95"/>
      <c r="F206" s="99"/>
      <c r="G206" s="99"/>
      <c r="H206" s="99"/>
      <c r="I206" s="99"/>
      <c r="J206" s="99"/>
      <c r="P206" s="85"/>
      <c r="Q206" s="100"/>
    </row>
    <row r="207" spans="2:17" ht="14.4">
      <c r="B207" s="95"/>
      <c r="F207" s="99"/>
      <c r="G207" s="99"/>
      <c r="H207" s="99"/>
      <c r="I207" s="99"/>
      <c r="J207" s="99"/>
      <c r="P207" s="85"/>
      <c r="Q207" s="100"/>
    </row>
    <row r="208" spans="2:17" ht="14.4">
      <c r="B208" s="95"/>
      <c r="F208" s="99"/>
      <c r="G208" s="99"/>
      <c r="H208" s="99"/>
      <c r="I208" s="99"/>
      <c r="J208" s="99"/>
      <c r="P208" s="85"/>
      <c r="Q208" s="100"/>
    </row>
    <row r="209" spans="2:17" ht="14.4">
      <c r="B209" s="95"/>
      <c r="F209" s="99"/>
      <c r="G209" s="99"/>
      <c r="H209" s="99"/>
      <c r="I209" s="99"/>
      <c r="J209" s="99"/>
      <c r="P209" s="85"/>
      <c r="Q209" s="100"/>
    </row>
    <row r="210" spans="2:17" ht="14.4">
      <c r="B210" s="95"/>
      <c r="F210" s="99"/>
      <c r="G210" s="99"/>
      <c r="H210" s="99"/>
      <c r="I210" s="99"/>
      <c r="J210" s="99"/>
      <c r="P210" s="85"/>
      <c r="Q210" s="100"/>
    </row>
    <row r="211" spans="2:17" ht="14.4">
      <c r="B211" s="95"/>
      <c r="F211" s="99"/>
      <c r="G211" s="99"/>
      <c r="H211" s="99"/>
      <c r="I211" s="99"/>
      <c r="J211" s="99"/>
      <c r="P211" s="85"/>
      <c r="Q211" s="100"/>
    </row>
    <row r="212" spans="2:17" ht="14.4">
      <c r="B212" s="95"/>
      <c r="F212" s="99"/>
      <c r="G212" s="99"/>
      <c r="H212" s="99"/>
      <c r="I212" s="99"/>
      <c r="J212" s="99"/>
      <c r="P212" s="85"/>
      <c r="Q212" s="100"/>
    </row>
    <row r="213" spans="2:17" ht="14.4">
      <c r="B213" s="95"/>
      <c r="F213" s="99"/>
      <c r="G213" s="99"/>
      <c r="H213" s="99"/>
      <c r="I213" s="99"/>
      <c r="J213" s="99"/>
      <c r="P213" s="85"/>
      <c r="Q213" s="100"/>
    </row>
    <row r="214" spans="2:17" ht="14.4">
      <c r="B214" s="95"/>
      <c r="F214" s="99"/>
      <c r="G214" s="99"/>
      <c r="H214" s="99"/>
      <c r="I214" s="99"/>
      <c r="J214" s="99"/>
      <c r="P214" s="85"/>
      <c r="Q214" s="100"/>
    </row>
    <row r="215" spans="2:17" ht="14.4">
      <c r="B215" s="95"/>
      <c r="F215" s="99"/>
      <c r="G215" s="99"/>
      <c r="H215" s="99"/>
      <c r="I215" s="99"/>
      <c r="J215" s="99"/>
      <c r="P215" s="85"/>
      <c r="Q215" s="100"/>
    </row>
    <row r="216" spans="2:17" ht="14.4">
      <c r="B216" s="95"/>
      <c r="F216" s="99"/>
      <c r="G216" s="99"/>
      <c r="H216" s="99"/>
      <c r="I216" s="99"/>
      <c r="J216" s="99"/>
      <c r="P216" s="85"/>
      <c r="Q216" s="100"/>
    </row>
    <row r="217" spans="2:17" ht="14.4">
      <c r="B217" s="95"/>
      <c r="F217" s="99"/>
      <c r="G217" s="99"/>
      <c r="H217" s="99"/>
      <c r="I217" s="99"/>
      <c r="J217" s="99"/>
      <c r="P217" s="85"/>
      <c r="Q217" s="100"/>
    </row>
    <row r="218" spans="2:17" ht="14.4">
      <c r="B218" s="95"/>
      <c r="F218" s="99"/>
      <c r="G218" s="99"/>
      <c r="H218" s="99"/>
      <c r="I218" s="99"/>
      <c r="J218" s="99"/>
      <c r="P218" s="85"/>
      <c r="Q218" s="100"/>
    </row>
    <row r="219" spans="2:17" ht="14.4">
      <c r="B219" s="95"/>
      <c r="F219" s="99"/>
      <c r="G219" s="99"/>
      <c r="H219" s="99"/>
      <c r="I219" s="99"/>
      <c r="J219" s="99"/>
      <c r="P219" s="85"/>
      <c r="Q219" s="100"/>
    </row>
    <row r="220" spans="2:17" ht="14.4">
      <c r="B220" s="95"/>
      <c r="F220" s="99"/>
      <c r="G220" s="99"/>
      <c r="H220" s="99"/>
      <c r="I220" s="99"/>
      <c r="J220" s="99"/>
      <c r="P220" s="85"/>
      <c r="Q220" s="100"/>
    </row>
    <row r="221" spans="2:17" ht="14.4">
      <c r="B221" s="95"/>
      <c r="F221" s="99"/>
      <c r="G221" s="99"/>
      <c r="H221" s="99"/>
      <c r="I221" s="99"/>
      <c r="J221" s="99"/>
      <c r="P221" s="85"/>
      <c r="Q221" s="100"/>
    </row>
    <row r="222" spans="2:17" ht="14.4">
      <c r="B222" s="95"/>
      <c r="F222" s="99"/>
      <c r="G222" s="99"/>
      <c r="H222" s="99"/>
      <c r="I222" s="99"/>
      <c r="J222" s="99"/>
      <c r="P222" s="85"/>
      <c r="Q222" s="100"/>
    </row>
    <row r="223" spans="2:17" ht="14.4">
      <c r="B223" s="95"/>
      <c r="F223" s="99"/>
      <c r="G223" s="99"/>
      <c r="H223" s="99"/>
      <c r="I223" s="99"/>
      <c r="J223" s="99"/>
      <c r="P223" s="85"/>
      <c r="Q223" s="100"/>
    </row>
    <row r="224" spans="2:17" ht="14.4">
      <c r="B224" s="95"/>
      <c r="F224" s="99"/>
      <c r="G224" s="99"/>
      <c r="H224" s="99"/>
      <c r="I224" s="99"/>
      <c r="J224" s="99"/>
      <c r="P224" s="85"/>
      <c r="Q224" s="100"/>
    </row>
    <row r="225" spans="2:17" ht="14.4">
      <c r="B225" s="95"/>
      <c r="F225" s="99"/>
      <c r="G225" s="99"/>
      <c r="H225" s="99"/>
      <c r="I225" s="99"/>
      <c r="J225" s="99"/>
      <c r="P225" s="85"/>
      <c r="Q225" s="100"/>
    </row>
    <row r="226" spans="2:17" ht="14.4">
      <c r="B226" s="95"/>
      <c r="F226" s="99"/>
      <c r="G226" s="99"/>
      <c r="H226" s="99"/>
      <c r="I226" s="99"/>
      <c r="J226" s="99"/>
      <c r="P226" s="85"/>
      <c r="Q226" s="100"/>
    </row>
    <row r="227" spans="2:17" ht="14.4">
      <c r="B227" s="95"/>
      <c r="F227" s="99"/>
      <c r="G227" s="99"/>
      <c r="H227" s="99"/>
      <c r="I227" s="99"/>
      <c r="J227" s="99"/>
      <c r="P227" s="85"/>
      <c r="Q227" s="100"/>
    </row>
    <row r="228" spans="2:17" ht="14.4">
      <c r="B228" s="95"/>
      <c r="F228" s="99"/>
      <c r="G228" s="99"/>
      <c r="H228" s="99"/>
      <c r="I228" s="99"/>
      <c r="J228" s="99"/>
      <c r="P228" s="85"/>
      <c r="Q228" s="100"/>
    </row>
    <row r="229" spans="2:17" ht="14.4">
      <c r="B229" s="95"/>
      <c r="F229" s="99"/>
      <c r="G229" s="99"/>
      <c r="H229" s="99"/>
      <c r="I229" s="99"/>
      <c r="J229" s="99"/>
      <c r="P229" s="85"/>
      <c r="Q229" s="100"/>
    </row>
    <row r="230" spans="2:17" ht="14.4">
      <c r="B230" s="95"/>
      <c r="F230" s="99"/>
      <c r="G230" s="99"/>
      <c r="H230" s="99"/>
      <c r="I230" s="99"/>
      <c r="J230" s="99"/>
      <c r="P230" s="85"/>
      <c r="Q230" s="100"/>
    </row>
    <row r="231" spans="2:17" ht="14.4">
      <c r="B231" s="95"/>
      <c r="F231" s="99"/>
      <c r="G231" s="99"/>
      <c r="H231" s="99"/>
      <c r="I231" s="99"/>
      <c r="J231" s="99"/>
      <c r="P231" s="85"/>
      <c r="Q231" s="100"/>
    </row>
    <row r="232" spans="2:17" ht="14.4">
      <c r="B232" s="95"/>
      <c r="F232" s="99"/>
      <c r="G232" s="99"/>
      <c r="H232" s="99"/>
      <c r="I232" s="99"/>
      <c r="J232" s="99"/>
      <c r="P232" s="85"/>
      <c r="Q232" s="100"/>
    </row>
    <row r="233" spans="2:17" ht="14.4">
      <c r="B233" s="95"/>
      <c r="F233" s="99"/>
      <c r="G233" s="99"/>
      <c r="H233" s="99"/>
      <c r="I233" s="99"/>
      <c r="J233" s="99"/>
      <c r="P233" s="85"/>
      <c r="Q233" s="100"/>
    </row>
    <row r="234" spans="2:17" ht="14.4">
      <c r="B234" s="95"/>
      <c r="F234" s="99"/>
      <c r="G234" s="99"/>
      <c r="H234" s="99"/>
      <c r="I234" s="99"/>
      <c r="J234" s="99"/>
      <c r="P234" s="85"/>
      <c r="Q234" s="100"/>
    </row>
    <row r="235" spans="2:17" ht="14.4">
      <c r="B235" s="95"/>
      <c r="F235" s="99"/>
      <c r="G235" s="99"/>
      <c r="H235" s="99"/>
      <c r="I235" s="99"/>
      <c r="J235" s="99"/>
      <c r="P235" s="85"/>
      <c r="Q235" s="100"/>
    </row>
    <row r="236" spans="2:17" ht="14.4">
      <c r="B236" s="95"/>
      <c r="F236" s="99"/>
      <c r="G236" s="99"/>
      <c r="H236" s="99"/>
      <c r="I236" s="99"/>
      <c r="J236" s="99"/>
      <c r="P236" s="85"/>
      <c r="Q236" s="100"/>
    </row>
    <row r="237" spans="2:17" ht="14.4">
      <c r="B237" s="95"/>
      <c r="F237" s="99"/>
      <c r="G237" s="99"/>
      <c r="H237" s="99"/>
      <c r="I237" s="99"/>
      <c r="J237" s="99"/>
      <c r="P237" s="85"/>
      <c r="Q237" s="100"/>
    </row>
    <row r="238" spans="2:17" ht="14.4">
      <c r="B238" s="95"/>
      <c r="F238" s="99"/>
      <c r="G238" s="99"/>
      <c r="H238" s="99"/>
      <c r="I238" s="99"/>
      <c r="J238" s="99"/>
      <c r="P238" s="85"/>
      <c r="Q238" s="100"/>
    </row>
    <row r="239" spans="2:17" ht="14.4">
      <c r="B239" s="95"/>
      <c r="F239" s="99"/>
      <c r="G239" s="99"/>
      <c r="H239" s="99"/>
      <c r="I239" s="99"/>
      <c r="J239" s="99"/>
      <c r="P239" s="85"/>
      <c r="Q239" s="100"/>
    </row>
    <row r="240" spans="2:17" ht="14.4">
      <c r="B240" s="95"/>
      <c r="F240" s="99"/>
      <c r="G240" s="99"/>
      <c r="H240" s="99"/>
      <c r="I240" s="99"/>
      <c r="J240" s="99"/>
      <c r="P240" s="85"/>
      <c r="Q240" s="100"/>
    </row>
    <row r="241" spans="2:17" ht="14.4">
      <c r="B241" s="95"/>
      <c r="F241" s="99"/>
      <c r="G241" s="99"/>
      <c r="H241" s="99"/>
      <c r="I241" s="99"/>
      <c r="J241" s="99"/>
      <c r="P241" s="85"/>
      <c r="Q241" s="100"/>
    </row>
    <row r="242" spans="2:17" ht="14.4">
      <c r="B242" s="95"/>
      <c r="F242" s="99"/>
      <c r="G242" s="99"/>
      <c r="H242" s="99"/>
      <c r="I242" s="99"/>
      <c r="J242" s="99"/>
      <c r="P242" s="85"/>
      <c r="Q242" s="100"/>
    </row>
    <row r="243" spans="2:17" ht="14.4">
      <c r="B243" s="95"/>
      <c r="F243" s="99"/>
      <c r="G243" s="99"/>
      <c r="H243" s="99"/>
      <c r="I243" s="99"/>
      <c r="J243" s="99"/>
      <c r="P243" s="85"/>
      <c r="Q243" s="100"/>
    </row>
    <row r="244" spans="2:17" ht="14.4">
      <c r="B244" s="95"/>
      <c r="F244" s="99"/>
      <c r="G244" s="99"/>
      <c r="H244" s="99"/>
      <c r="I244" s="99"/>
      <c r="J244" s="99"/>
      <c r="P244" s="85"/>
      <c r="Q244" s="100"/>
    </row>
    <row r="245" spans="2:17" ht="14.4">
      <c r="B245" s="95"/>
      <c r="F245" s="99"/>
      <c r="G245" s="99"/>
      <c r="H245" s="99"/>
      <c r="I245" s="99"/>
      <c r="J245" s="99"/>
      <c r="P245" s="85"/>
      <c r="Q245" s="100"/>
    </row>
    <row r="246" spans="2:17" ht="14.4">
      <c r="B246" s="95"/>
      <c r="F246" s="99"/>
      <c r="G246" s="99"/>
      <c r="H246" s="99"/>
      <c r="I246" s="99"/>
      <c r="J246" s="99"/>
      <c r="P246" s="85"/>
      <c r="Q246" s="100"/>
    </row>
    <row r="247" spans="2:17" ht="14.4">
      <c r="B247" s="95"/>
      <c r="F247" s="99"/>
      <c r="G247" s="99"/>
      <c r="H247" s="99"/>
      <c r="I247" s="99"/>
      <c r="J247" s="99"/>
      <c r="P247" s="85"/>
      <c r="Q247" s="100"/>
    </row>
    <row r="248" spans="2:17" ht="14.4">
      <c r="B248" s="95"/>
      <c r="F248" s="99"/>
      <c r="G248" s="99"/>
      <c r="H248" s="99"/>
      <c r="I248" s="99"/>
      <c r="J248" s="99"/>
      <c r="P248" s="85"/>
      <c r="Q248" s="100"/>
    </row>
    <row r="249" spans="2:17" ht="14.4">
      <c r="B249" s="95"/>
      <c r="F249" s="99"/>
      <c r="G249" s="99"/>
      <c r="H249" s="99"/>
      <c r="I249" s="99"/>
      <c r="J249" s="99"/>
      <c r="P249" s="85"/>
      <c r="Q249" s="100"/>
    </row>
    <row r="250" spans="2:17" ht="14.4">
      <c r="B250" s="95"/>
      <c r="F250" s="99"/>
      <c r="G250" s="99"/>
      <c r="H250" s="99"/>
      <c r="I250" s="99"/>
      <c r="J250" s="99"/>
      <c r="P250" s="85"/>
      <c r="Q250" s="100"/>
    </row>
    <row r="251" spans="2:17" ht="14.4">
      <c r="B251" s="95"/>
      <c r="F251" s="99"/>
      <c r="G251" s="99"/>
      <c r="H251" s="99"/>
      <c r="I251" s="99"/>
      <c r="J251" s="99"/>
      <c r="P251" s="85"/>
      <c r="Q251" s="100"/>
    </row>
    <row r="252" spans="2:17" ht="14.4">
      <c r="B252" s="95"/>
      <c r="F252" s="99"/>
      <c r="G252" s="99"/>
      <c r="H252" s="99"/>
      <c r="I252" s="99"/>
      <c r="J252" s="99"/>
      <c r="P252" s="85"/>
      <c r="Q252" s="100"/>
    </row>
    <row r="253" spans="2:17" ht="14.4">
      <c r="B253" s="95"/>
      <c r="F253" s="99"/>
      <c r="G253" s="99"/>
      <c r="H253" s="99"/>
      <c r="I253" s="99"/>
      <c r="J253" s="99"/>
      <c r="P253" s="85"/>
      <c r="Q253" s="100"/>
    </row>
    <row r="254" spans="2:17" ht="14.4">
      <c r="B254" s="95"/>
      <c r="F254" s="99"/>
      <c r="G254" s="99"/>
      <c r="H254" s="99"/>
      <c r="I254" s="99"/>
      <c r="J254" s="99"/>
      <c r="P254" s="85"/>
      <c r="Q254" s="100"/>
    </row>
    <row r="255" spans="2:17" ht="14.4">
      <c r="B255" s="95"/>
      <c r="F255" s="99"/>
      <c r="G255" s="99"/>
      <c r="H255" s="99"/>
      <c r="I255" s="99"/>
      <c r="J255" s="99"/>
      <c r="P255" s="85"/>
      <c r="Q255" s="100"/>
    </row>
    <row r="256" spans="2:17" ht="14.4">
      <c r="B256" s="95"/>
      <c r="F256" s="99"/>
      <c r="G256" s="99"/>
      <c r="H256" s="99"/>
      <c r="I256" s="99"/>
      <c r="J256" s="99"/>
      <c r="P256" s="85"/>
      <c r="Q256" s="100"/>
    </row>
    <row r="257" spans="2:17" ht="14.4">
      <c r="B257" s="95"/>
      <c r="F257" s="99"/>
      <c r="G257" s="99"/>
      <c r="H257" s="99"/>
      <c r="I257" s="99"/>
      <c r="J257" s="99"/>
      <c r="P257" s="85"/>
      <c r="Q257" s="100"/>
    </row>
    <row r="258" spans="2:17" ht="14.4">
      <c r="B258" s="95"/>
      <c r="F258" s="99"/>
      <c r="G258" s="99"/>
      <c r="H258" s="99"/>
      <c r="I258" s="99"/>
      <c r="J258" s="99"/>
      <c r="P258" s="85"/>
      <c r="Q258" s="100"/>
    </row>
    <row r="259" spans="2:17" ht="14.4">
      <c r="B259" s="95"/>
      <c r="F259" s="99"/>
      <c r="G259" s="99"/>
      <c r="H259" s="99"/>
      <c r="I259" s="99"/>
      <c r="J259" s="99"/>
      <c r="P259" s="85"/>
      <c r="Q259" s="100"/>
    </row>
    <row r="260" spans="2:17" ht="14.4">
      <c r="B260" s="95"/>
      <c r="F260" s="99"/>
      <c r="G260" s="99"/>
      <c r="H260" s="99"/>
      <c r="I260" s="99"/>
      <c r="J260" s="99"/>
      <c r="P260" s="85"/>
      <c r="Q260" s="100"/>
    </row>
    <row r="261" spans="2:17" ht="14.4">
      <c r="B261" s="95"/>
      <c r="F261" s="99"/>
      <c r="G261" s="99"/>
      <c r="H261" s="99"/>
      <c r="I261" s="99"/>
      <c r="J261" s="99"/>
      <c r="P261" s="85"/>
      <c r="Q261" s="100"/>
    </row>
    <row r="262" spans="2:17" ht="14.4">
      <c r="B262" s="95"/>
      <c r="F262" s="99"/>
      <c r="G262" s="99"/>
      <c r="H262" s="99"/>
      <c r="I262" s="99"/>
      <c r="J262" s="99"/>
      <c r="P262" s="85"/>
      <c r="Q262" s="100"/>
    </row>
    <row r="263" spans="2:17" ht="14.4">
      <c r="B263" s="95"/>
      <c r="F263" s="99"/>
      <c r="G263" s="99"/>
      <c r="H263" s="99"/>
      <c r="I263" s="99"/>
      <c r="J263" s="99"/>
      <c r="P263" s="85"/>
      <c r="Q263" s="100"/>
    </row>
    <row r="264" spans="2:17" ht="14.4">
      <c r="B264" s="95"/>
      <c r="F264" s="99"/>
      <c r="G264" s="99"/>
      <c r="H264" s="99"/>
      <c r="I264" s="99"/>
      <c r="J264" s="99"/>
      <c r="P264" s="85"/>
      <c r="Q264" s="100"/>
    </row>
    <row r="265" spans="2:17" ht="14.4">
      <c r="B265" s="95"/>
      <c r="F265" s="99"/>
      <c r="G265" s="99"/>
      <c r="H265" s="99"/>
      <c r="I265" s="99"/>
      <c r="J265" s="99"/>
      <c r="P265" s="85"/>
      <c r="Q265" s="100"/>
    </row>
    <row r="266" spans="2:17" ht="14.4">
      <c r="B266" s="95"/>
      <c r="F266" s="99"/>
      <c r="G266" s="99"/>
      <c r="H266" s="99"/>
      <c r="I266" s="99"/>
      <c r="J266" s="99"/>
      <c r="P266" s="85"/>
      <c r="Q266" s="100"/>
    </row>
    <row r="267" spans="2:17" ht="14.4">
      <c r="B267" s="95"/>
      <c r="F267" s="99"/>
      <c r="G267" s="99"/>
      <c r="H267" s="99"/>
      <c r="I267" s="99"/>
      <c r="J267" s="99"/>
      <c r="P267" s="85"/>
      <c r="Q267" s="100"/>
    </row>
    <row r="268" spans="2:17" ht="14.4">
      <c r="B268" s="95"/>
      <c r="F268" s="99"/>
      <c r="G268" s="99"/>
      <c r="H268" s="99"/>
      <c r="I268" s="99"/>
      <c r="J268" s="99"/>
      <c r="P268" s="85"/>
      <c r="Q268" s="100"/>
    </row>
    <row r="269" spans="2:17" ht="14.4">
      <c r="B269" s="95"/>
      <c r="F269" s="99"/>
      <c r="G269" s="99"/>
      <c r="H269" s="99"/>
      <c r="I269" s="99"/>
      <c r="J269" s="99"/>
      <c r="P269" s="85"/>
      <c r="Q269" s="100"/>
    </row>
    <row r="270" spans="2:17" ht="14.4">
      <c r="B270" s="95"/>
      <c r="F270" s="99"/>
      <c r="G270" s="99"/>
      <c r="H270" s="99"/>
      <c r="I270" s="99"/>
      <c r="J270" s="99"/>
      <c r="P270" s="85"/>
      <c r="Q270" s="100"/>
    </row>
    <row r="271" spans="2:17" ht="14.4">
      <c r="B271" s="95"/>
      <c r="F271" s="99"/>
      <c r="G271" s="99"/>
      <c r="H271" s="99"/>
      <c r="I271" s="99"/>
      <c r="J271" s="99"/>
      <c r="P271" s="85"/>
      <c r="Q271" s="100"/>
    </row>
    <row r="272" spans="2:17" ht="14.4">
      <c r="B272" s="95"/>
      <c r="F272" s="99"/>
      <c r="G272" s="99"/>
      <c r="H272" s="99"/>
      <c r="I272" s="99"/>
      <c r="J272" s="99"/>
      <c r="P272" s="85"/>
      <c r="Q272" s="100"/>
    </row>
    <row r="273" spans="2:17" ht="14.4">
      <c r="B273" s="95"/>
      <c r="F273" s="99"/>
      <c r="G273" s="99"/>
      <c r="H273" s="99"/>
      <c r="I273" s="99"/>
      <c r="J273" s="99"/>
      <c r="P273" s="85"/>
      <c r="Q273" s="100"/>
    </row>
    <row r="274" spans="2:17" ht="14.4">
      <c r="B274" s="95"/>
      <c r="F274" s="99"/>
      <c r="G274" s="99"/>
      <c r="H274" s="99"/>
      <c r="I274" s="99"/>
      <c r="J274" s="99"/>
      <c r="P274" s="85"/>
      <c r="Q274" s="100"/>
    </row>
    <row r="275" spans="2:17" ht="14.4">
      <c r="B275" s="95"/>
      <c r="F275" s="99"/>
      <c r="G275" s="99"/>
      <c r="H275" s="99"/>
      <c r="I275" s="99"/>
      <c r="J275" s="99"/>
      <c r="P275" s="85"/>
      <c r="Q275" s="100"/>
    </row>
    <row r="276" spans="2:17" ht="14.4">
      <c r="B276" s="95"/>
      <c r="F276" s="99"/>
      <c r="G276" s="99"/>
      <c r="H276" s="99"/>
      <c r="I276" s="99"/>
      <c r="J276" s="99"/>
      <c r="P276" s="85"/>
      <c r="Q276" s="100"/>
    </row>
    <row r="277" spans="2:17" ht="14.4">
      <c r="B277" s="95"/>
      <c r="F277" s="99"/>
      <c r="G277" s="99"/>
      <c r="H277" s="99"/>
      <c r="I277" s="99"/>
      <c r="J277" s="99"/>
      <c r="P277" s="85"/>
      <c r="Q277" s="100"/>
    </row>
    <row r="278" spans="2:17" ht="14.4">
      <c r="B278" s="95"/>
      <c r="F278" s="99"/>
      <c r="G278" s="99"/>
      <c r="H278" s="99"/>
      <c r="I278" s="99"/>
      <c r="J278" s="99"/>
      <c r="P278" s="85"/>
      <c r="Q278" s="100"/>
    </row>
    <row r="279" spans="2:17" ht="14.4">
      <c r="B279" s="95"/>
      <c r="F279" s="99"/>
      <c r="G279" s="99"/>
      <c r="H279" s="99"/>
      <c r="I279" s="99"/>
      <c r="J279" s="99"/>
      <c r="P279" s="85"/>
      <c r="Q279" s="100"/>
    </row>
    <row r="280" spans="2:17" ht="14.4">
      <c r="B280" s="95"/>
      <c r="F280" s="99"/>
      <c r="G280" s="99"/>
      <c r="H280" s="99"/>
      <c r="I280" s="99"/>
      <c r="J280" s="99"/>
      <c r="P280" s="85"/>
      <c r="Q280" s="100"/>
    </row>
    <row r="281" spans="2:17" ht="14.4">
      <c r="B281" s="95"/>
      <c r="F281" s="99"/>
      <c r="G281" s="99"/>
      <c r="H281" s="99"/>
      <c r="I281" s="99"/>
      <c r="J281" s="99"/>
      <c r="P281" s="85"/>
      <c r="Q281" s="100"/>
    </row>
    <row r="282" spans="2:17" ht="14.4">
      <c r="B282" s="95"/>
      <c r="F282" s="99"/>
      <c r="G282" s="99"/>
      <c r="H282" s="99"/>
      <c r="I282" s="99"/>
      <c r="J282" s="99"/>
      <c r="P282" s="85"/>
      <c r="Q282" s="100"/>
    </row>
    <row r="283" spans="2:17" ht="14.4">
      <c r="B283" s="95"/>
      <c r="F283" s="99"/>
      <c r="G283" s="99"/>
      <c r="H283" s="99"/>
      <c r="I283" s="99"/>
      <c r="J283" s="99"/>
      <c r="P283" s="85"/>
      <c r="Q283" s="100"/>
    </row>
    <row r="284" spans="2:17" ht="14.4">
      <c r="B284" s="95"/>
      <c r="F284" s="99"/>
      <c r="G284" s="99"/>
      <c r="H284" s="99"/>
      <c r="I284" s="99"/>
      <c r="J284" s="99"/>
      <c r="P284" s="85"/>
      <c r="Q284" s="100"/>
    </row>
    <row r="285" spans="2:17" ht="14.4">
      <c r="B285" s="95"/>
      <c r="F285" s="99"/>
      <c r="G285" s="99"/>
      <c r="H285" s="99"/>
      <c r="I285" s="99"/>
      <c r="J285" s="99"/>
      <c r="P285" s="85"/>
      <c r="Q285" s="100"/>
    </row>
    <row r="286" spans="2:17" ht="14.4">
      <c r="B286" s="95"/>
      <c r="F286" s="99"/>
      <c r="G286" s="99"/>
      <c r="H286" s="99"/>
      <c r="I286" s="99"/>
      <c r="J286" s="99"/>
      <c r="P286" s="85"/>
      <c r="Q286" s="100"/>
    </row>
    <row r="287" spans="2:17" ht="14.4">
      <c r="B287" s="95"/>
      <c r="F287" s="99"/>
      <c r="G287" s="99"/>
      <c r="H287" s="99"/>
      <c r="I287" s="99"/>
      <c r="J287" s="99"/>
      <c r="P287" s="85"/>
      <c r="Q287" s="100"/>
    </row>
    <row r="288" spans="2:17" ht="14.4">
      <c r="B288" s="95"/>
      <c r="F288" s="99"/>
      <c r="G288" s="99"/>
      <c r="H288" s="99"/>
      <c r="I288" s="99"/>
      <c r="J288" s="99"/>
      <c r="P288" s="85"/>
      <c r="Q288" s="100"/>
    </row>
    <row r="289" spans="2:17" ht="14.4">
      <c r="B289" s="95"/>
      <c r="F289" s="99"/>
      <c r="G289" s="99"/>
      <c r="H289" s="99"/>
      <c r="I289" s="99"/>
      <c r="J289" s="99"/>
      <c r="P289" s="85"/>
      <c r="Q289" s="100"/>
    </row>
    <row r="290" spans="2:17" ht="14.4">
      <c r="B290" s="95"/>
      <c r="F290" s="99"/>
      <c r="G290" s="99"/>
      <c r="H290" s="99"/>
      <c r="I290" s="99"/>
      <c r="J290" s="99"/>
      <c r="P290" s="85"/>
      <c r="Q290" s="100"/>
    </row>
    <row r="291" spans="2:17" ht="14.4">
      <c r="B291" s="95"/>
      <c r="F291" s="99"/>
      <c r="G291" s="99"/>
      <c r="H291" s="99"/>
      <c r="I291" s="99"/>
      <c r="J291" s="99"/>
      <c r="P291" s="85"/>
      <c r="Q291" s="100"/>
    </row>
    <row r="292" spans="2:17" ht="14.4">
      <c r="B292" s="95"/>
      <c r="F292" s="99"/>
      <c r="G292" s="99"/>
      <c r="H292" s="99"/>
      <c r="I292" s="99"/>
      <c r="J292" s="99"/>
      <c r="P292" s="85"/>
      <c r="Q292" s="100"/>
    </row>
    <row r="293" spans="2:17" ht="14.4">
      <c r="B293" s="95"/>
      <c r="F293" s="99"/>
      <c r="G293" s="99"/>
      <c r="H293" s="99"/>
      <c r="I293" s="99"/>
      <c r="J293" s="99"/>
      <c r="P293" s="85"/>
      <c r="Q293" s="100"/>
    </row>
    <row r="294" spans="2:17" ht="14.4">
      <c r="B294" s="95"/>
      <c r="F294" s="99"/>
      <c r="G294" s="99"/>
      <c r="H294" s="99"/>
      <c r="I294" s="99"/>
      <c r="J294" s="99"/>
      <c r="P294" s="85"/>
      <c r="Q294" s="100"/>
    </row>
    <row r="295" spans="2:17" ht="14.4">
      <c r="B295" s="95"/>
      <c r="F295" s="99"/>
      <c r="G295" s="99"/>
      <c r="H295" s="99"/>
      <c r="I295" s="99"/>
      <c r="J295" s="99"/>
      <c r="P295" s="85"/>
      <c r="Q295" s="100"/>
    </row>
    <row r="296" spans="2:17" ht="14.4">
      <c r="B296" s="95"/>
      <c r="F296" s="99"/>
      <c r="G296" s="99"/>
      <c r="H296" s="99"/>
      <c r="I296" s="99"/>
      <c r="J296" s="99"/>
      <c r="P296" s="85"/>
      <c r="Q296" s="100"/>
    </row>
    <row r="297" spans="2:17" ht="14.4">
      <c r="B297" s="95"/>
      <c r="F297" s="99"/>
      <c r="G297" s="99"/>
      <c r="H297" s="99"/>
      <c r="I297" s="99"/>
      <c r="J297" s="99"/>
      <c r="P297" s="85"/>
      <c r="Q297" s="100"/>
    </row>
    <row r="298" spans="2:17" ht="14.4">
      <c r="B298" s="95"/>
      <c r="F298" s="99"/>
      <c r="G298" s="99"/>
      <c r="H298" s="99"/>
      <c r="I298" s="99"/>
      <c r="J298" s="99"/>
      <c r="P298" s="85"/>
      <c r="Q298" s="100"/>
    </row>
    <row r="299" spans="2:17" ht="14.4">
      <c r="B299" s="95"/>
      <c r="F299" s="99"/>
      <c r="G299" s="99"/>
      <c r="H299" s="99"/>
      <c r="I299" s="99"/>
      <c r="J299" s="99"/>
      <c r="P299" s="85"/>
      <c r="Q299" s="100"/>
    </row>
    <row r="300" spans="2:17" ht="14.4">
      <c r="B300" s="95"/>
      <c r="F300" s="99"/>
      <c r="G300" s="99"/>
      <c r="H300" s="99"/>
      <c r="I300" s="99"/>
      <c r="J300" s="99"/>
      <c r="P300" s="85"/>
      <c r="Q300" s="100"/>
    </row>
    <row r="301" spans="2:17" ht="14.4">
      <c r="B301" s="95"/>
      <c r="F301" s="99"/>
      <c r="G301" s="99"/>
      <c r="H301" s="99"/>
      <c r="I301" s="99"/>
      <c r="J301" s="99"/>
      <c r="P301" s="85"/>
      <c r="Q301" s="100"/>
    </row>
    <row r="302" spans="2:17" ht="14.4">
      <c r="B302" s="95"/>
      <c r="F302" s="99"/>
      <c r="G302" s="99"/>
      <c r="H302" s="99"/>
      <c r="I302" s="99"/>
      <c r="J302" s="99"/>
      <c r="P302" s="85"/>
      <c r="Q302" s="100"/>
    </row>
    <row r="303" spans="2:17" ht="14.4">
      <c r="B303" s="95"/>
      <c r="F303" s="99"/>
      <c r="G303" s="99"/>
      <c r="H303" s="99"/>
      <c r="I303" s="99"/>
      <c r="J303" s="99"/>
      <c r="P303" s="85"/>
      <c r="Q303" s="100"/>
    </row>
    <row r="304" spans="2:17" ht="14.4">
      <c r="B304" s="95"/>
      <c r="F304" s="99"/>
      <c r="G304" s="99"/>
      <c r="H304" s="99"/>
      <c r="I304" s="99"/>
      <c r="J304" s="99"/>
      <c r="P304" s="85"/>
      <c r="Q304" s="100"/>
    </row>
    <row r="305" spans="2:17" ht="14.4">
      <c r="B305" s="95"/>
      <c r="F305" s="99"/>
      <c r="G305" s="99"/>
      <c r="H305" s="99"/>
      <c r="I305" s="99"/>
      <c r="J305" s="99"/>
      <c r="P305" s="85"/>
      <c r="Q305" s="100"/>
    </row>
    <row r="306" spans="2:17" ht="14.4">
      <c r="B306" s="95"/>
      <c r="F306" s="99"/>
      <c r="G306" s="99"/>
      <c r="H306" s="99"/>
      <c r="I306" s="99"/>
      <c r="J306" s="99"/>
      <c r="P306" s="85"/>
      <c r="Q306" s="100"/>
    </row>
    <row r="307" spans="2:17" ht="14.4">
      <c r="B307" s="95"/>
      <c r="F307" s="99"/>
      <c r="G307" s="99"/>
      <c r="H307" s="99"/>
      <c r="I307" s="99"/>
      <c r="J307" s="99"/>
      <c r="P307" s="85"/>
      <c r="Q307" s="100"/>
    </row>
    <row r="308" spans="2:17" ht="14.4">
      <c r="B308" s="95"/>
      <c r="F308" s="99"/>
      <c r="G308" s="99"/>
      <c r="H308" s="99"/>
      <c r="I308" s="99"/>
      <c r="J308" s="99"/>
      <c r="P308" s="85"/>
      <c r="Q308" s="100"/>
    </row>
    <row r="309" spans="2:17" ht="14.4">
      <c r="B309" s="95"/>
      <c r="F309" s="99"/>
      <c r="G309" s="99"/>
      <c r="H309" s="99"/>
      <c r="I309" s="99"/>
      <c r="J309" s="99"/>
      <c r="P309" s="85"/>
      <c r="Q309" s="100"/>
    </row>
    <row r="310" spans="2:17" ht="14.4">
      <c r="B310" s="95"/>
      <c r="F310" s="99"/>
      <c r="G310" s="99"/>
      <c r="H310" s="99"/>
      <c r="I310" s="99"/>
      <c r="J310" s="99"/>
      <c r="P310" s="85"/>
      <c r="Q310" s="100"/>
    </row>
    <row r="311" spans="2:17" ht="14.4">
      <c r="B311" s="95"/>
      <c r="F311" s="99"/>
      <c r="G311" s="99"/>
      <c r="H311" s="99"/>
      <c r="I311" s="99"/>
      <c r="J311" s="99"/>
      <c r="P311" s="85"/>
      <c r="Q311" s="100"/>
    </row>
    <row r="312" spans="2:17" ht="14.4">
      <c r="B312" s="95"/>
      <c r="F312" s="99"/>
      <c r="G312" s="99"/>
      <c r="H312" s="99"/>
      <c r="I312" s="99"/>
      <c r="J312" s="99"/>
      <c r="P312" s="85"/>
      <c r="Q312" s="100"/>
    </row>
    <row r="313" spans="2:17" ht="14.4">
      <c r="B313" s="95"/>
      <c r="F313" s="99"/>
      <c r="G313" s="99"/>
      <c r="H313" s="99"/>
      <c r="I313" s="99"/>
      <c r="J313" s="99"/>
      <c r="P313" s="85"/>
      <c r="Q313" s="100"/>
    </row>
    <row r="314" spans="2:17" ht="14.4">
      <c r="B314" s="95"/>
      <c r="F314" s="99"/>
      <c r="G314" s="99"/>
      <c r="H314" s="99"/>
      <c r="I314" s="99"/>
      <c r="J314" s="99"/>
      <c r="P314" s="85"/>
      <c r="Q314" s="100"/>
    </row>
    <row r="315" spans="2:17" ht="14.4">
      <c r="B315" s="95"/>
      <c r="F315" s="99"/>
      <c r="G315" s="99"/>
      <c r="H315" s="99"/>
      <c r="I315" s="99"/>
      <c r="J315" s="99"/>
      <c r="P315" s="85"/>
      <c r="Q315" s="100"/>
    </row>
    <row r="316" spans="2:17" ht="14.4">
      <c r="B316" s="95"/>
      <c r="F316" s="99"/>
      <c r="G316" s="99"/>
      <c r="H316" s="99"/>
      <c r="I316" s="99"/>
      <c r="J316" s="99"/>
      <c r="P316" s="85"/>
      <c r="Q316" s="100"/>
    </row>
    <row r="317" spans="2:17" ht="14.4">
      <c r="B317" s="95"/>
      <c r="F317" s="99"/>
      <c r="G317" s="99"/>
      <c r="H317" s="99"/>
      <c r="I317" s="99"/>
      <c r="J317" s="99"/>
      <c r="P317" s="85"/>
      <c r="Q317" s="100"/>
    </row>
    <row r="318" spans="2:17" ht="14.4">
      <c r="B318" s="95"/>
      <c r="F318" s="99"/>
      <c r="G318" s="99"/>
      <c r="H318" s="99"/>
      <c r="I318" s="99"/>
      <c r="J318" s="99"/>
      <c r="P318" s="85"/>
      <c r="Q318" s="100"/>
    </row>
    <row r="319" spans="2:17" ht="14.4">
      <c r="B319" s="95"/>
      <c r="F319" s="99"/>
      <c r="G319" s="99"/>
      <c r="H319" s="99"/>
      <c r="I319" s="99"/>
      <c r="J319" s="99"/>
      <c r="P319" s="85"/>
      <c r="Q319" s="100"/>
    </row>
    <row r="320" spans="2:17" ht="14.4">
      <c r="B320" s="95"/>
      <c r="F320" s="99"/>
      <c r="G320" s="99"/>
      <c r="H320" s="99"/>
      <c r="I320" s="99"/>
      <c r="J320" s="99"/>
      <c r="P320" s="85"/>
      <c r="Q320" s="100"/>
    </row>
    <row r="321" spans="2:17" ht="14.4">
      <c r="B321" s="95"/>
      <c r="F321" s="99"/>
      <c r="G321" s="99"/>
      <c r="H321" s="99"/>
      <c r="I321" s="99"/>
      <c r="J321" s="99"/>
      <c r="P321" s="85"/>
      <c r="Q321" s="100"/>
    </row>
    <row r="322" spans="2:17" ht="14.4">
      <c r="B322" s="95"/>
      <c r="F322" s="99"/>
      <c r="G322" s="99"/>
      <c r="H322" s="99"/>
      <c r="I322" s="99"/>
      <c r="J322" s="99"/>
      <c r="P322" s="85"/>
      <c r="Q322" s="100"/>
    </row>
    <row r="323" spans="2:17" ht="14.4">
      <c r="B323" s="95"/>
      <c r="F323" s="99"/>
      <c r="G323" s="99"/>
      <c r="H323" s="99"/>
      <c r="I323" s="99"/>
      <c r="J323" s="99"/>
      <c r="P323" s="85"/>
      <c r="Q323" s="100"/>
    </row>
    <row r="324" spans="2:17" ht="14.4">
      <c r="B324" s="95"/>
      <c r="F324" s="99"/>
      <c r="G324" s="99"/>
      <c r="H324" s="99"/>
      <c r="I324" s="99"/>
      <c r="J324" s="99"/>
      <c r="P324" s="85"/>
      <c r="Q324" s="100"/>
    </row>
    <row r="325" spans="2:17" ht="14.4">
      <c r="B325" s="95"/>
      <c r="F325" s="99"/>
      <c r="G325" s="99"/>
      <c r="H325" s="99"/>
      <c r="I325" s="99"/>
      <c r="J325" s="99"/>
      <c r="P325" s="85"/>
      <c r="Q325" s="100"/>
    </row>
    <row r="326" spans="2:17" ht="14.4">
      <c r="B326" s="95"/>
      <c r="F326" s="99"/>
      <c r="G326" s="99"/>
      <c r="H326" s="99"/>
      <c r="I326" s="99"/>
      <c r="J326" s="99"/>
      <c r="P326" s="85"/>
      <c r="Q326" s="100"/>
    </row>
    <row r="327" spans="2:17" ht="14.4">
      <c r="B327" s="95"/>
      <c r="F327" s="99"/>
      <c r="G327" s="99"/>
      <c r="H327" s="99"/>
      <c r="I327" s="99"/>
      <c r="J327" s="99"/>
      <c r="P327" s="85"/>
      <c r="Q327" s="100"/>
    </row>
    <row r="328" spans="2:17" ht="14.4">
      <c r="B328" s="95"/>
      <c r="F328" s="99"/>
      <c r="G328" s="99"/>
      <c r="H328" s="99"/>
      <c r="I328" s="99"/>
      <c r="J328" s="99"/>
      <c r="P328" s="85"/>
      <c r="Q328" s="100"/>
    </row>
    <row r="329" spans="2:17" ht="14.4">
      <c r="B329" s="95"/>
      <c r="F329" s="99"/>
      <c r="G329" s="99"/>
      <c r="H329" s="99"/>
      <c r="I329" s="99"/>
      <c r="J329" s="99"/>
      <c r="P329" s="85"/>
      <c r="Q329" s="100"/>
    </row>
    <row r="330" spans="2:17" ht="14.4">
      <c r="B330" s="95"/>
      <c r="F330" s="99"/>
      <c r="G330" s="99"/>
      <c r="H330" s="99"/>
      <c r="I330" s="99"/>
      <c r="J330" s="99"/>
      <c r="P330" s="85"/>
      <c r="Q330" s="100"/>
    </row>
    <row r="331" spans="2:17" ht="14.4">
      <c r="B331" s="95"/>
      <c r="F331" s="99"/>
      <c r="G331" s="99"/>
      <c r="H331" s="99"/>
      <c r="I331" s="99"/>
      <c r="J331" s="99"/>
      <c r="P331" s="85"/>
      <c r="Q331" s="100"/>
    </row>
    <row r="332" spans="2:17" ht="14.4">
      <c r="B332" s="95"/>
      <c r="F332" s="99"/>
      <c r="G332" s="99"/>
      <c r="H332" s="99"/>
      <c r="I332" s="99"/>
      <c r="J332" s="99"/>
      <c r="P332" s="85"/>
      <c r="Q332" s="100"/>
    </row>
    <row r="333" spans="2:17" ht="14.4">
      <c r="B333" s="95"/>
      <c r="F333" s="99"/>
      <c r="G333" s="99"/>
      <c r="H333" s="99"/>
      <c r="I333" s="99"/>
      <c r="J333" s="99"/>
      <c r="P333" s="85"/>
      <c r="Q333" s="100"/>
    </row>
    <row r="334" spans="2:17" ht="14.4">
      <c r="B334" s="95"/>
      <c r="F334" s="99"/>
      <c r="G334" s="99"/>
      <c r="H334" s="99"/>
      <c r="I334" s="99"/>
      <c r="J334" s="99"/>
      <c r="P334" s="85"/>
      <c r="Q334" s="100"/>
    </row>
    <row r="335" spans="2:17" ht="14.4">
      <c r="B335" s="95"/>
      <c r="F335" s="99"/>
      <c r="G335" s="99"/>
      <c r="H335" s="99"/>
      <c r="I335" s="99"/>
      <c r="J335" s="99"/>
      <c r="P335" s="85"/>
      <c r="Q335" s="100"/>
    </row>
    <row r="336" spans="2:17" ht="14.4">
      <c r="B336" s="95"/>
      <c r="F336" s="99"/>
      <c r="G336" s="99"/>
      <c r="H336" s="99"/>
      <c r="I336" s="99"/>
      <c r="J336" s="99"/>
      <c r="P336" s="85"/>
      <c r="Q336" s="100"/>
    </row>
    <row r="337" spans="2:17" ht="14.4">
      <c r="B337" s="95"/>
      <c r="F337" s="99"/>
      <c r="G337" s="99"/>
      <c r="H337" s="99"/>
      <c r="I337" s="99"/>
      <c r="J337" s="99"/>
      <c r="P337" s="85"/>
      <c r="Q337" s="100"/>
    </row>
    <row r="338" spans="2:17" ht="14.4">
      <c r="B338" s="95"/>
      <c r="F338" s="99"/>
      <c r="G338" s="99"/>
      <c r="H338" s="99"/>
      <c r="I338" s="99"/>
      <c r="J338" s="99"/>
      <c r="P338" s="85"/>
      <c r="Q338" s="100"/>
    </row>
    <row r="339" spans="2:17" ht="14.4">
      <c r="B339" s="95"/>
      <c r="F339" s="99"/>
      <c r="G339" s="99"/>
      <c r="H339" s="99"/>
      <c r="I339" s="99"/>
      <c r="J339" s="99"/>
      <c r="P339" s="85"/>
      <c r="Q339" s="100"/>
    </row>
    <row r="340" spans="2:17" ht="14.4">
      <c r="B340" s="95"/>
      <c r="F340" s="99"/>
      <c r="G340" s="99"/>
      <c r="H340" s="99"/>
      <c r="I340" s="99"/>
      <c r="J340" s="99"/>
      <c r="P340" s="85"/>
      <c r="Q340" s="100"/>
    </row>
    <row r="341" spans="2:17" ht="14.4">
      <c r="B341" s="95"/>
      <c r="F341" s="99"/>
      <c r="G341" s="99"/>
      <c r="H341" s="99"/>
      <c r="I341" s="99"/>
      <c r="J341" s="99"/>
      <c r="P341" s="85"/>
      <c r="Q341" s="100"/>
    </row>
    <row r="342" spans="2:17" ht="14.4">
      <c r="B342" s="95"/>
      <c r="F342" s="99"/>
      <c r="G342" s="99"/>
      <c r="H342" s="99"/>
      <c r="I342" s="99"/>
      <c r="J342" s="99"/>
      <c r="P342" s="85"/>
      <c r="Q342" s="100"/>
    </row>
    <row r="343" spans="2:17" ht="14.4">
      <c r="B343" s="95"/>
      <c r="F343" s="99"/>
      <c r="G343" s="99"/>
      <c r="H343" s="99"/>
      <c r="I343" s="99"/>
      <c r="J343" s="99"/>
      <c r="P343" s="85"/>
      <c r="Q343" s="100"/>
    </row>
    <row r="344" spans="2:17" ht="14.4">
      <c r="B344" s="95"/>
      <c r="F344" s="99"/>
      <c r="G344" s="99"/>
      <c r="H344" s="99"/>
      <c r="I344" s="99"/>
      <c r="J344" s="99"/>
      <c r="P344" s="85"/>
      <c r="Q344" s="100"/>
    </row>
    <row r="345" spans="2:17" ht="14.4">
      <c r="B345" s="95"/>
      <c r="F345" s="99"/>
      <c r="G345" s="99"/>
      <c r="H345" s="99"/>
      <c r="I345" s="99"/>
      <c r="J345" s="99"/>
      <c r="P345" s="85"/>
      <c r="Q345" s="100"/>
    </row>
    <row r="346" spans="2:17" ht="14.4">
      <c r="B346" s="95"/>
      <c r="F346" s="99"/>
      <c r="G346" s="99"/>
      <c r="H346" s="99"/>
      <c r="I346" s="99"/>
      <c r="J346" s="99"/>
      <c r="P346" s="85"/>
      <c r="Q346" s="100"/>
    </row>
    <row r="347" spans="2:17" ht="14.4">
      <c r="B347" s="95"/>
      <c r="F347" s="99"/>
      <c r="G347" s="99"/>
      <c r="H347" s="99"/>
      <c r="I347" s="99"/>
      <c r="J347" s="99"/>
      <c r="P347" s="85"/>
      <c r="Q347" s="100"/>
    </row>
    <row r="348" spans="2:17" ht="14.4">
      <c r="B348" s="95"/>
      <c r="F348" s="99"/>
      <c r="G348" s="99"/>
      <c r="H348" s="99"/>
      <c r="I348" s="99"/>
      <c r="J348" s="99"/>
      <c r="P348" s="85"/>
      <c r="Q348" s="100"/>
    </row>
    <row r="349" spans="2:17" ht="14.4">
      <c r="B349" s="95"/>
      <c r="F349" s="99"/>
      <c r="G349" s="99"/>
      <c r="H349" s="99"/>
      <c r="I349" s="99"/>
      <c r="J349" s="99"/>
      <c r="P349" s="85"/>
      <c r="Q349" s="100"/>
    </row>
    <row r="350" spans="2:17" ht="14.4">
      <c r="B350" s="95"/>
      <c r="F350" s="99"/>
      <c r="G350" s="99"/>
      <c r="H350" s="99"/>
      <c r="I350" s="99"/>
      <c r="J350" s="99"/>
      <c r="P350" s="85"/>
      <c r="Q350" s="100"/>
    </row>
    <row r="351" spans="2:17" ht="14.4">
      <c r="B351" s="95"/>
      <c r="F351" s="99"/>
      <c r="G351" s="99"/>
      <c r="H351" s="99"/>
      <c r="I351" s="99"/>
      <c r="J351" s="99"/>
      <c r="P351" s="85"/>
      <c r="Q351" s="100"/>
    </row>
    <row r="352" spans="2:17" ht="14.4">
      <c r="B352" s="95"/>
      <c r="F352" s="99"/>
      <c r="G352" s="99"/>
      <c r="H352" s="99"/>
      <c r="I352" s="99"/>
      <c r="J352" s="99"/>
      <c r="P352" s="85"/>
      <c r="Q352" s="100"/>
    </row>
    <row r="353" spans="2:17" ht="14.4">
      <c r="B353" s="95"/>
      <c r="F353" s="99"/>
      <c r="G353" s="99"/>
      <c r="H353" s="99"/>
      <c r="I353" s="99"/>
      <c r="J353" s="99"/>
      <c r="P353" s="85"/>
      <c r="Q353" s="100"/>
    </row>
    <row r="354" spans="2:17" ht="14.4">
      <c r="B354" s="95"/>
      <c r="F354" s="99"/>
      <c r="G354" s="99"/>
      <c r="H354" s="99"/>
      <c r="I354" s="99"/>
      <c r="J354" s="99"/>
      <c r="P354" s="85"/>
      <c r="Q354" s="100"/>
    </row>
    <row r="355" spans="2:17" ht="14.4">
      <c r="B355" s="95"/>
      <c r="F355" s="99"/>
      <c r="G355" s="99"/>
      <c r="H355" s="99"/>
      <c r="I355" s="99"/>
      <c r="J355" s="99"/>
      <c r="P355" s="85"/>
      <c r="Q355" s="100"/>
    </row>
    <row r="356" spans="2:17" ht="14.4">
      <c r="B356" s="95"/>
      <c r="F356" s="99"/>
      <c r="G356" s="99"/>
      <c r="H356" s="99"/>
      <c r="I356" s="99"/>
      <c r="J356" s="99"/>
      <c r="P356" s="85"/>
      <c r="Q356" s="100"/>
    </row>
    <row r="357" spans="2:17" ht="14.4">
      <c r="B357" s="95"/>
      <c r="F357" s="99"/>
      <c r="G357" s="99"/>
      <c r="H357" s="99"/>
      <c r="I357" s="99"/>
      <c r="J357" s="99"/>
      <c r="P357" s="85"/>
      <c r="Q357" s="100"/>
    </row>
    <row r="358" spans="2:17" ht="14.4">
      <c r="B358" s="95"/>
      <c r="F358" s="99"/>
      <c r="G358" s="99"/>
      <c r="H358" s="99"/>
      <c r="I358" s="99"/>
      <c r="J358" s="99"/>
      <c r="P358" s="85"/>
      <c r="Q358" s="100"/>
    </row>
    <row r="359" spans="2:17" ht="14.4">
      <c r="B359" s="95"/>
      <c r="F359" s="99"/>
      <c r="G359" s="99"/>
      <c r="H359" s="99"/>
      <c r="I359" s="99"/>
      <c r="J359" s="99"/>
      <c r="P359" s="85"/>
      <c r="Q359" s="100"/>
    </row>
    <row r="360" spans="2:17" ht="14.4">
      <c r="B360" s="95"/>
      <c r="F360" s="99"/>
      <c r="G360" s="99"/>
      <c r="H360" s="99"/>
      <c r="I360" s="99"/>
      <c r="J360" s="99"/>
      <c r="P360" s="85"/>
      <c r="Q360" s="100"/>
    </row>
    <row r="361" spans="2:17" ht="14.4">
      <c r="B361" s="95"/>
      <c r="F361" s="99"/>
      <c r="G361" s="99"/>
      <c r="H361" s="99"/>
      <c r="I361" s="99"/>
      <c r="J361" s="99"/>
      <c r="P361" s="85"/>
      <c r="Q361" s="100"/>
    </row>
    <row r="362" spans="2:17" ht="14.4">
      <c r="B362" s="95"/>
      <c r="F362" s="99"/>
      <c r="G362" s="99"/>
      <c r="H362" s="99"/>
      <c r="I362" s="99"/>
      <c r="J362" s="99"/>
      <c r="P362" s="85"/>
      <c r="Q362" s="100"/>
    </row>
    <row r="363" spans="2:17" ht="14.4">
      <c r="B363" s="95"/>
      <c r="F363" s="99"/>
      <c r="G363" s="99"/>
      <c r="H363" s="99"/>
      <c r="I363" s="99"/>
      <c r="J363" s="99"/>
      <c r="P363" s="85"/>
      <c r="Q363" s="100"/>
    </row>
    <row r="364" spans="2:17" ht="14.4">
      <c r="B364" s="95"/>
      <c r="F364" s="99"/>
      <c r="G364" s="99"/>
      <c r="H364" s="99"/>
      <c r="I364" s="99"/>
      <c r="J364" s="99"/>
      <c r="P364" s="85"/>
      <c r="Q364" s="100"/>
    </row>
    <row r="365" spans="2:17" ht="14.4">
      <c r="B365" s="95"/>
      <c r="F365" s="99"/>
      <c r="G365" s="99"/>
      <c r="H365" s="99"/>
      <c r="I365" s="99"/>
      <c r="J365" s="99"/>
      <c r="P365" s="85"/>
      <c r="Q365" s="100"/>
    </row>
    <row r="366" spans="2:17" ht="14.4">
      <c r="B366" s="95"/>
      <c r="F366" s="99"/>
      <c r="G366" s="99"/>
      <c r="H366" s="99"/>
      <c r="I366" s="99"/>
      <c r="J366" s="99"/>
      <c r="P366" s="85"/>
      <c r="Q366" s="100"/>
    </row>
    <row r="367" spans="2:17" ht="14.4">
      <c r="B367" s="95"/>
      <c r="F367" s="99"/>
      <c r="G367" s="99"/>
      <c r="H367" s="99"/>
      <c r="I367" s="99"/>
      <c r="J367" s="99"/>
      <c r="P367" s="85"/>
      <c r="Q367" s="100"/>
    </row>
    <row r="368" spans="2:17" ht="14.4">
      <c r="B368" s="95"/>
      <c r="F368" s="99"/>
      <c r="G368" s="99"/>
      <c r="H368" s="99"/>
      <c r="I368" s="99"/>
      <c r="J368" s="99"/>
      <c r="P368" s="85"/>
      <c r="Q368" s="100"/>
    </row>
    <row r="369" spans="2:17" ht="14.4">
      <c r="B369" s="95"/>
      <c r="F369" s="99"/>
      <c r="G369" s="99"/>
      <c r="H369" s="99"/>
      <c r="I369" s="99"/>
      <c r="J369" s="99"/>
      <c r="P369" s="85"/>
      <c r="Q369" s="100"/>
    </row>
    <row r="370" spans="2:17" ht="14.4">
      <c r="B370" s="95"/>
      <c r="F370" s="99"/>
      <c r="G370" s="99"/>
      <c r="H370" s="99"/>
      <c r="I370" s="99"/>
      <c r="J370" s="99"/>
      <c r="P370" s="85"/>
      <c r="Q370" s="100"/>
    </row>
    <row r="371" spans="2:17" ht="14.4">
      <c r="B371" s="95"/>
      <c r="F371" s="99"/>
      <c r="G371" s="99"/>
      <c r="H371" s="99"/>
      <c r="I371" s="99"/>
      <c r="J371" s="99"/>
      <c r="P371" s="85"/>
      <c r="Q371" s="100"/>
    </row>
    <row r="372" spans="2:17" ht="14.4">
      <c r="B372" s="95"/>
      <c r="F372" s="99"/>
      <c r="G372" s="99"/>
      <c r="H372" s="99"/>
      <c r="I372" s="99"/>
      <c r="J372" s="99"/>
      <c r="P372" s="85"/>
      <c r="Q372" s="100"/>
    </row>
    <row r="373" spans="2:17" ht="14.4">
      <c r="B373" s="95"/>
      <c r="F373" s="99"/>
      <c r="G373" s="99"/>
      <c r="H373" s="99"/>
      <c r="I373" s="99"/>
      <c r="J373" s="99"/>
      <c r="P373" s="85"/>
      <c r="Q373" s="100"/>
    </row>
    <row r="374" spans="2:17" ht="14.4">
      <c r="B374" s="95"/>
      <c r="F374" s="99"/>
      <c r="G374" s="99"/>
      <c r="H374" s="99"/>
      <c r="I374" s="99"/>
      <c r="J374" s="99"/>
      <c r="P374" s="85"/>
      <c r="Q374" s="100"/>
    </row>
    <row r="375" spans="2:17" ht="14.4">
      <c r="B375" s="95"/>
      <c r="F375" s="99"/>
      <c r="G375" s="99"/>
      <c r="H375" s="99"/>
      <c r="I375" s="99"/>
      <c r="J375" s="99"/>
      <c r="P375" s="85"/>
      <c r="Q375" s="100"/>
    </row>
    <row r="376" spans="2:17" ht="14.4">
      <c r="B376" s="95"/>
      <c r="F376" s="99"/>
      <c r="G376" s="99"/>
      <c r="H376" s="99"/>
      <c r="I376" s="99"/>
      <c r="J376" s="99"/>
      <c r="P376" s="85"/>
      <c r="Q376" s="100"/>
    </row>
    <row r="377" spans="2:17" ht="14.4">
      <c r="B377" s="95"/>
      <c r="F377" s="99"/>
      <c r="G377" s="99"/>
      <c r="H377" s="99"/>
      <c r="I377" s="99"/>
      <c r="J377" s="99"/>
      <c r="P377" s="85"/>
      <c r="Q377" s="100"/>
    </row>
    <row r="378" spans="2:17" ht="14.4">
      <c r="B378" s="95"/>
      <c r="F378" s="99"/>
      <c r="G378" s="99"/>
      <c r="H378" s="99"/>
      <c r="I378" s="99"/>
      <c r="J378" s="99"/>
      <c r="P378" s="85"/>
      <c r="Q378" s="100"/>
    </row>
    <row r="379" spans="2:17" ht="14.4">
      <c r="B379" s="95"/>
      <c r="F379" s="99"/>
      <c r="G379" s="99"/>
      <c r="H379" s="99"/>
      <c r="I379" s="99"/>
      <c r="J379" s="99"/>
      <c r="P379" s="85"/>
      <c r="Q379" s="100"/>
    </row>
    <row r="380" spans="2:17" ht="14.4">
      <c r="B380" s="95"/>
      <c r="F380" s="99"/>
      <c r="G380" s="99"/>
      <c r="H380" s="99"/>
      <c r="I380" s="99"/>
      <c r="J380" s="99"/>
      <c r="P380" s="85"/>
      <c r="Q380" s="100"/>
    </row>
    <row r="381" spans="2:17" ht="14.4">
      <c r="B381" s="95"/>
      <c r="F381" s="99"/>
      <c r="G381" s="99"/>
      <c r="H381" s="99"/>
      <c r="I381" s="99"/>
      <c r="J381" s="99"/>
      <c r="P381" s="85"/>
      <c r="Q381" s="100"/>
    </row>
    <row r="382" spans="2:17" ht="14.4">
      <c r="B382" s="95"/>
      <c r="F382" s="99"/>
      <c r="G382" s="99"/>
      <c r="H382" s="99"/>
      <c r="I382" s="99"/>
      <c r="J382" s="99"/>
      <c r="P382" s="85"/>
      <c r="Q382" s="100"/>
    </row>
    <row r="383" spans="2:17" ht="14.4">
      <c r="B383" s="95"/>
      <c r="F383" s="99"/>
      <c r="G383" s="99"/>
      <c r="H383" s="99"/>
      <c r="I383" s="99"/>
      <c r="J383" s="99"/>
      <c r="P383" s="85"/>
      <c r="Q383" s="100"/>
    </row>
    <row r="384" spans="2:17" ht="14.4">
      <c r="B384" s="95"/>
      <c r="F384" s="99"/>
      <c r="G384" s="99"/>
      <c r="H384" s="99"/>
      <c r="I384" s="99"/>
      <c r="J384" s="99"/>
      <c r="P384" s="85"/>
      <c r="Q384" s="100"/>
    </row>
    <row r="385" spans="2:17" ht="14.4">
      <c r="B385" s="95"/>
      <c r="F385" s="99"/>
      <c r="G385" s="99"/>
      <c r="H385" s="99"/>
      <c r="I385" s="99"/>
      <c r="J385" s="99"/>
      <c r="P385" s="85"/>
      <c r="Q385" s="100"/>
    </row>
    <row r="386" spans="2:17" ht="14.4">
      <c r="B386" s="95"/>
      <c r="F386" s="99"/>
      <c r="G386" s="99"/>
      <c r="H386" s="99"/>
      <c r="I386" s="99"/>
      <c r="J386" s="99"/>
      <c r="P386" s="85"/>
      <c r="Q386" s="100"/>
    </row>
    <row r="387" spans="2:17" ht="14.4">
      <c r="B387" s="95"/>
      <c r="F387" s="99"/>
      <c r="G387" s="99"/>
      <c r="H387" s="99"/>
      <c r="I387" s="99"/>
      <c r="J387" s="99"/>
      <c r="P387" s="85"/>
      <c r="Q387" s="100"/>
    </row>
    <row r="388" spans="2:17" ht="14.4">
      <c r="B388" s="95"/>
      <c r="F388" s="99"/>
      <c r="G388" s="99"/>
      <c r="H388" s="99"/>
      <c r="I388" s="99"/>
      <c r="J388" s="99"/>
      <c r="P388" s="85"/>
      <c r="Q388" s="100"/>
    </row>
    <row r="389" spans="2:17" ht="14.4">
      <c r="B389" s="95"/>
      <c r="F389" s="99"/>
      <c r="G389" s="99"/>
      <c r="H389" s="99"/>
      <c r="I389" s="99"/>
      <c r="J389" s="99"/>
      <c r="P389" s="85"/>
      <c r="Q389" s="100"/>
    </row>
    <row r="390" spans="2:17" ht="14.4">
      <c r="B390" s="95"/>
      <c r="F390" s="99"/>
      <c r="G390" s="99"/>
      <c r="H390" s="99"/>
      <c r="I390" s="99"/>
      <c r="J390" s="99"/>
      <c r="P390" s="85"/>
      <c r="Q390" s="100"/>
    </row>
    <row r="391" spans="2:17" ht="14.4">
      <c r="B391" s="95"/>
      <c r="F391" s="99"/>
      <c r="G391" s="99"/>
      <c r="H391" s="99"/>
      <c r="I391" s="99"/>
      <c r="J391" s="99"/>
      <c r="P391" s="85"/>
      <c r="Q391" s="100"/>
    </row>
    <row r="392" spans="2:17" ht="14.4">
      <c r="B392" s="95"/>
      <c r="F392" s="99"/>
      <c r="G392" s="99"/>
      <c r="H392" s="99"/>
      <c r="I392" s="99"/>
      <c r="J392" s="99"/>
      <c r="P392" s="85"/>
      <c r="Q392" s="100"/>
    </row>
    <row r="393" spans="2:17" ht="14.4">
      <c r="B393" s="95"/>
      <c r="F393" s="99"/>
      <c r="G393" s="99"/>
      <c r="H393" s="99"/>
      <c r="I393" s="99"/>
      <c r="J393" s="99"/>
      <c r="P393" s="85"/>
      <c r="Q393" s="100"/>
    </row>
    <row r="394" spans="2:17" ht="14.4">
      <c r="B394" s="95"/>
      <c r="F394" s="99"/>
      <c r="G394" s="99"/>
      <c r="H394" s="99"/>
      <c r="I394" s="99"/>
      <c r="J394" s="99"/>
      <c r="P394" s="85"/>
      <c r="Q394" s="100"/>
    </row>
    <row r="395" spans="2:17" ht="14.4">
      <c r="B395" s="95"/>
      <c r="F395" s="99"/>
      <c r="G395" s="99"/>
      <c r="H395" s="99"/>
      <c r="I395" s="99"/>
      <c r="J395" s="99"/>
      <c r="P395" s="85"/>
      <c r="Q395" s="100"/>
    </row>
    <row r="396" spans="2:17" ht="14.4">
      <c r="B396" s="95"/>
      <c r="F396" s="99"/>
      <c r="G396" s="99"/>
      <c r="H396" s="99"/>
      <c r="I396" s="99"/>
      <c r="J396" s="99"/>
      <c r="P396" s="85"/>
      <c r="Q396" s="100"/>
    </row>
    <row r="397" spans="2:17" ht="14.4">
      <c r="B397" s="95"/>
      <c r="F397" s="99"/>
      <c r="G397" s="99"/>
      <c r="H397" s="99"/>
      <c r="I397" s="99"/>
      <c r="J397" s="99"/>
      <c r="P397" s="85"/>
      <c r="Q397" s="100"/>
    </row>
    <row r="398" spans="2:17" ht="14.4">
      <c r="B398" s="95"/>
      <c r="F398" s="99"/>
      <c r="G398" s="99"/>
      <c r="H398" s="99"/>
      <c r="I398" s="99"/>
      <c r="J398" s="99"/>
      <c r="P398" s="85"/>
      <c r="Q398" s="100"/>
    </row>
    <row r="399" spans="2:17" ht="14.4">
      <c r="B399" s="95"/>
      <c r="F399" s="99"/>
      <c r="G399" s="99"/>
      <c r="H399" s="99"/>
      <c r="I399" s="99"/>
      <c r="J399" s="99"/>
      <c r="P399" s="85"/>
      <c r="Q399" s="100"/>
    </row>
    <row r="400" spans="2:17" ht="14.4">
      <c r="B400" s="95"/>
      <c r="F400" s="99"/>
      <c r="G400" s="99"/>
      <c r="H400" s="99"/>
      <c r="I400" s="99"/>
      <c r="J400" s="99"/>
      <c r="P400" s="85"/>
      <c r="Q400" s="100"/>
    </row>
    <row r="401" spans="2:17" ht="14.4">
      <c r="B401" s="95"/>
      <c r="F401" s="99"/>
      <c r="G401" s="99"/>
      <c r="H401" s="99"/>
      <c r="I401" s="99"/>
      <c r="J401" s="99"/>
      <c r="P401" s="85"/>
      <c r="Q401" s="100"/>
    </row>
    <row r="402" spans="2:17" ht="14.4">
      <c r="B402" s="95"/>
      <c r="F402" s="99"/>
      <c r="G402" s="99"/>
      <c r="H402" s="99"/>
      <c r="I402" s="99"/>
      <c r="J402" s="99"/>
      <c r="P402" s="85"/>
      <c r="Q402" s="100"/>
    </row>
    <row r="403" spans="2:17" ht="14.4">
      <c r="B403" s="95"/>
      <c r="F403" s="99"/>
      <c r="G403" s="99"/>
      <c r="H403" s="99"/>
      <c r="I403" s="99"/>
      <c r="J403" s="99"/>
      <c r="P403" s="85"/>
      <c r="Q403" s="100"/>
    </row>
    <row r="404" spans="2:17" ht="14.4">
      <c r="B404" s="95"/>
      <c r="F404" s="99"/>
      <c r="G404" s="99"/>
      <c r="H404" s="99"/>
      <c r="I404" s="99"/>
      <c r="J404" s="99"/>
      <c r="P404" s="85"/>
      <c r="Q404" s="100"/>
    </row>
    <row r="405" spans="2:17" ht="14.4">
      <c r="B405" s="95"/>
      <c r="F405" s="99"/>
      <c r="G405" s="99"/>
      <c r="H405" s="99"/>
      <c r="I405" s="99"/>
      <c r="J405" s="99"/>
      <c r="P405" s="85"/>
      <c r="Q405" s="100"/>
    </row>
    <row r="406" spans="2:17" ht="14.4">
      <c r="B406" s="95"/>
      <c r="F406" s="99"/>
      <c r="G406" s="99"/>
      <c r="H406" s="99"/>
      <c r="I406" s="99"/>
      <c r="J406" s="99"/>
      <c r="P406" s="85"/>
      <c r="Q406" s="100"/>
    </row>
    <row r="407" spans="2:17" ht="14.4">
      <c r="B407" s="95"/>
      <c r="F407" s="99"/>
      <c r="G407" s="99"/>
      <c r="H407" s="99"/>
      <c r="I407" s="99"/>
      <c r="J407" s="99"/>
      <c r="P407" s="85"/>
      <c r="Q407" s="100"/>
    </row>
    <row r="408" spans="2:17" ht="14.4">
      <c r="B408" s="95"/>
      <c r="F408" s="99"/>
      <c r="G408" s="99"/>
      <c r="H408" s="99"/>
      <c r="I408" s="99"/>
      <c r="J408" s="99"/>
      <c r="P408" s="85"/>
      <c r="Q408" s="100"/>
    </row>
    <row r="409" spans="2:17" ht="14.4">
      <c r="B409" s="95"/>
      <c r="F409" s="99"/>
      <c r="G409" s="99"/>
      <c r="H409" s="99"/>
      <c r="I409" s="99"/>
      <c r="J409" s="99"/>
      <c r="P409" s="85"/>
      <c r="Q409" s="100"/>
    </row>
    <row r="410" spans="2:17" ht="14.4">
      <c r="B410" s="95"/>
      <c r="F410" s="99"/>
      <c r="G410" s="99"/>
      <c r="H410" s="99"/>
      <c r="I410" s="99"/>
      <c r="J410" s="99"/>
      <c r="P410" s="85"/>
      <c r="Q410" s="100"/>
    </row>
    <row r="411" spans="2:17" ht="14.4">
      <c r="B411" s="95"/>
      <c r="F411" s="99"/>
      <c r="G411" s="99"/>
      <c r="H411" s="99"/>
      <c r="I411" s="99"/>
      <c r="J411" s="99"/>
      <c r="P411" s="85"/>
      <c r="Q411" s="100"/>
    </row>
    <row r="412" spans="2:17" ht="14.4">
      <c r="B412" s="95"/>
      <c r="F412" s="99"/>
      <c r="G412" s="99"/>
      <c r="H412" s="99"/>
      <c r="I412" s="99"/>
      <c r="J412" s="99"/>
      <c r="P412" s="85"/>
      <c r="Q412" s="100"/>
    </row>
    <row r="413" spans="2:17" ht="14.4">
      <c r="B413" s="95"/>
      <c r="F413" s="99"/>
      <c r="G413" s="99"/>
      <c r="H413" s="99"/>
      <c r="I413" s="99"/>
      <c r="J413" s="99"/>
      <c r="P413" s="85"/>
      <c r="Q413" s="100"/>
    </row>
    <row r="414" spans="2:17" ht="14.4">
      <c r="B414" s="95"/>
      <c r="F414" s="99"/>
      <c r="G414" s="99"/>
      <c r="H414" s="99"/>
      <c r="I414" s="99"/>
      <c r="J414" s="99"/>
      <c r="P414" s="85"/>
      <c r="Q414" s="100"/>
    </row>
    <row r="415" spans="2:17" ht="14.4">
      <c r="B415" s="95"/>
      <c r="F415" s="99"/>
      <c r="G415" s="99"/>
      <c r="H415" s="99"/>
      <c r="I415" s="99"/>
      <c r="J415" s="99"/>
      <c r="P415" s="85"/>
      <c r="Q415" s="100"/>
    </row>
    <row r="416" spans="2:17" ht="14.4">
      <c r="B416" s="95"/>
      <c r="F416" s="99"/>
      <c r="G416" s="99"/>
      <c r="H416" s="99"/>
      <c r="I416" s="99"/>
      <c r="J416" s="99"/>
      <c r="P416" s="85"/>
      <c r="Q416" s="100"/>
    </row>
    <row r="417" spans="2:17" ht="14.4">
      <c r="B417" s="95"/>
      <c r="F417" s="99"/>
      <c r="G417" s="99"/>
      <c r="H417" s="99"/>
      <c r="I417" s="99"/>
      <c r="J417" s="99"/>
      <c r="P417" s="85"/>
      <c r="Q417" s="100"/>
    </row>
    <row r="418" spans="2:17" ht="14.4">
      <c r="B418" s="95"/>
      <c r="F418" s="99"/>
      <c r="G418" s="99"/>
      <c r="H418" s="99"/>
      <c r="I418" s="99"/>
      <c r="J418" s="99"/>
      <c r="P418" s="85"/>
      <c r="Q418" s="100"/>
    </row>
    <row r="419" spans="2:17" ht="14.4">
      <c r="B419" s="95"/>
      <c r="F419" s="99"/>
      <c r="G419" s="99"/>
      <c r="H419" s="99"/>
      <c r="I419" s="99"/>
      <c r="J419" s="99"/>
      <c r="P419" s="85"/>
      <c r="Q419" s="100"/>
    </row>
    <row r="420" spans="2:17" ht="14.4">
      <c r="B420" s="95"/>
      <c r="F420" s="99"/>
      <c r="G420" s="99"/>
      <c r="H420" s="99"/>
      <c r="I420" s="99"/>
      <c r="J420" s="99"/>
      <c r="P420" s="85"/>
      <c r="Q420" s="100"/>
    </row>
    <row r="421" spans="2:17" ht="14.4">
      <c r="B421" s="95"/>
      <c r="F421" s="99"/>
      <c r="G421" s="99"/>
      <c r="H421" s="99"/>
      <c r="I421" s="99"/>
      <c r="J421" s="99"/>
      <c r="P421" s="85"/>
      <c r="Q421" s="100"/>
    </row>
    <row r="422" spans="2:17" ht="14.4">
      <c r="B422" s="95"/>
      <c r="F422" s="99"/>
      <c r="G422" s="99"/>
      <c r="H422" s="99"/>
      <c r="I422" s="99"/>
      <c r="J422" s="99"/>
      <c r="P422" s="85"/>
      <c r="Q422" s="100"/>
    </row>
    <row r="423" spans="2:17" ht="14.4">
      <c r="B423" s="95"/>
      <c r="F423" s="99"/>
      <c r="G423" s="99"/>
      <c r="H423" s="99"/>
      <c r="I423" s="99"/>
      <c r="J423" s="99"/>
      <c r="P423" s="85"/>
      <c r="Q423" s="100"/>
    </row>
    <row r="424" spans="2:17" ht="14.4">
      <c r="B424" s="95"/>
      <c r="F424" s="99"/>
      <c r="G424" s="99"/>
      <c r="H424" s="99"/>
      <c r="I424" s="99"/>
      <c r="J424" s="99"/>
      <c r="P424" s="85"/>
      <c r="Q424" s="100"/>
    </row>
    <row r="425" spans="2:17" ht="14.4">
      <c r="B425" s="95"/>
      <c r="F425" s="99"/>
      <c r="G425" s="99"/>
      <c r="H425" s="99"/>
      <c r="I425" s="99"/>
      <c r="J425" s="99"/>
      <c r="P425" s="85"/>
      <c r="Q425" s="100"/>
    </row>
    <row r="426" spans="2:17" ht="14.4">
      <c r="B426" s="95"/>
      <c r="F426" s="99"/>
      <c r="G426" s="99"/>
      <c r="H426" s="99"/>
      <c r="I426" s="99"/>
      <c r="J426" s="99"/>
      <c r="P426" s="85"/>
      <c r="Q426" s="100"/>
    </row>
    <row r="427" spans="2:17" ht="14.4">
      <c r="B427" s="95"/>
      <c r="F427" s="99"/>
      <c r="G427" s="99"/>
      <c r="H427" s="99"/>
      <c r="I427" s="99"/>
      <c r="J427" s="99"/>
      <c r="P427" s="85"/>
      <c r="Q427" s="100"/>
    </row>
    <row r="428" spans="2:17" ht="14.4">
      <c r="B428" s="95"/>
      <c r="F428" s="99"/>
      <c r="G428" s="99"/>
      <c r="H428" s="99"/>
      <c r="I428" s="99"/>
      <c r="J428" s="99"/>
      <c r="P428" s="85"/>
      <c r="Q428" s="100"/>
    </row>
    <row r="429" spans="2:17" ht="14.4">
      <c r="B429" s="95"/>
      <c r="F429" s="99"/>
      <c r="G429" s="99"/>
      <c r="H429" s="99"/>
      <c r="I429" s="99"/>
      <c r="J429" s="99"/>
      <c r="P429" s="85"/>
      <c r="Q429" s="100"/>
    </row>
    <row r="430" spans="2:17" ht="14.4">
      <c r="B430" s="95"/>
      <c r="F430" s="99"/>
      <c r="G430" s="99"/>
      <c r="H430" s="99"/>
      <c r="I430" s="99"/>
      <c r="J430" s="99"/>
      <c r="P430" s="85"/>
      <c r="Q430" s="100"/>
    </row>
    <row r="431" spans="2:17" ht="14.4">
      <c r="B431" s="95"/>
      <c r="F431" s="99"/>
      <c r="G431" s="99"/>
      <c r="H431" s="99"/>
      <c r="I431" s="99"/>
      <c r="J431" s="99"/>
      <c r="P431" s="85"/>
      <c r="Q431" s="100"/>
    </row>
    <row r="432" spans="2:17" ht="14.4">
      <c r="B432" s="95"/>
      <c r="F432" s="99"/>
      <c r="G432" s="99"/>
      <c r="H432" s="99"/>
      <c r="I432" s="99"/>
      <c r="J432" s="99"/>
      <c r="P432" s="85"/>
      <c r="Q432" s="100"/>
    </row>
    <row r="433" spans="2:17" ht="14.4">
      <c r="B433" s="95"/>
      <c r="F433" s="99"/>
      <c r="G433" s="99"/>
      <c r="H433" s="99"/>
      <c r="I433" s="99"/>
      <c r="J433" s="99"/>
      <c r="P433" s="85"/>
      <c r="Q433" s="100"/>
    </row>
    <row r="434" spans="2:17" ht="14.4">
      <c r="B434" s="95"/>
      <c r="F434" s="99"/>
      <c r="G434" s="99"/>
      <c r="H434" s="99"/>
      <c r="I434" s="99"/>
      <c r="J434" s="99"/>
      <c r="P434" s="85"/>
      <c r="Q434" s="100"/>
    </row>
    <row r="435" spans="2:17" ht="14.4">
      <c r="B435" s="95"/>
      <c r="F435" s="99"/>
      <c r="G435" s="99"/>
      <c r="H435" s="99"/>
      <c r="I435" s="99"/>
      <c r="J435" s="99"/>
      <c r="P435" s="85"/>
      <c r="Q435" s="100"/>
    </row>
    <row r="436" spans="2:17" ht="14.4">
      <c r="B436" s="95"/>
      <c r="F436" s="99"/>
      <c r="G436" s="99"/>
      <c r="H436" s="99"/>
      <c r="I436" s="99"/>
      <c r="J436" s="99"/>
      <c r="P436" s="85"/>
      <c r="Q436" s="100"/>
    </row>
    <row r="437" spans="2:17" ht="14.4">
      <c r="B437" s="95"/>
      <c r="F437" s="99"/>
      <c r="G437" s="99"/>
      <c r="H437" s="99"/>
      <c r="I437" s="99"/>
      <c r="J437" s="99"/>
      <c r="P437" s="85"/>
      <c r="Q437" s="100"/>
    </row>
    <row r="438" spans="2:17" ht="14.4">
      <c r="B438" s="95"/>
      <c r="F438" s="99"/>
      <c r="G438" s="99"/>
      <c r="H438" s="99"/>
      <c r="I438" s="99"/>
      <c r="J438" s="99"/>
      <c r="P438" s="85"/>
      <c r="Q438" s="100"/>
    </row>
    <row r="439" spans="2:17" ht="14.4">
      <c r="B439" s="95"/>
      <c r="F439" s="99"/>
      <c r="G439" s="99"/>
      <c r="H439" s="99"/>
      <c r="I439" s="99"/>
      <c r="J439" s="99"/>
      <c r="P439" s="85"/>
      <c r="Q439" s="100"/>
    </row>
    <row r="440" spans="2:17" ht="14.4">
      <c r="B440" s="95"/>
      <c r="F440" s="99"/>
      <c r="G440" s="99"/>
      <c r="H440" s="99"/>
      <c r="I440" s="99"/>
      <c r="J440" s="99"/>
      <c r="P440" s="85"/>
      <c r="Q440" s="100"/>
    </row>
    <row r="441" spans="2:17" ht="14.4">
      <c r="B441" s="95"/>
      <c r="F441" s="99"/>
      <c r="G441" s="99"/>
      <c r="H441" s="99"/>
      <c r="I441" s="99"/>
      <c r="J441" s="99"/>
      <c r="P441" s="85"/>
      <c r="Q441" s="100"/>
    </row>
    <row r="442" spans="2:17" ht="14.4">
      <c r="B442" s="95"/>
      <c r="F442" s="99"/>
      <c r="G442" s="99"/>
      <c r="H442" s="99"/>
      <c r="I442" s="99"/>
      <c r="J442" s="99"/>
      <c r="P442" s="85"/>
      <c r="Q442" s="100"/>
    </row>
    <row r="443" spans="2:17" ht="14.4">
      <c r="B443" s="95"/>
      <c r="F443" s="99"/>
      <c r="G443" s="99"/>
      <c r="H443" s="99"/>
      <c r="I443" s="99"/>
      <c r="J443" s="99"/>
      <c r="P443" s="85"/>
      <c r="Q443" s="100"/>
    </row>
    <row r="444" spans="2:17" ht="14.4">
      <c r="B444" s="95"/>
      <c r="F444" s="99"/>
      <c r="G444" s="99"/>
      <c r="H444" s="99"/>
      <c r="I444" s="99"/>
      <c r="J444" s="99"/>
      <c r="P444" s="85"/>
      <c r="Q444" s="100"/>
    </row>
    <row r="445" spans="2:17" ht="14.4">
      <c r="B445" s="95"/>
      <c r="F445" s="99"/>
      <c r="G445" s="99"/>
      <c r="H445" s="99"/>
      <c r="I445" s="99"/>
      <c r="J445" s="99"/>
      <c r="P445" s="85"/>
      <c r="Q445" s="100"/>
    </row>
    <row r="446" spans="2:17" ht="14.4">
      <c r="B446" s="95"/>
      <c r="F446" s="99"/>
      <c r="G446" s="99"/>
      <c r="H446" s="99"/>
      <c r="I446" s="99"/>
      <c r="J446" s="99"/>
      <c r="P446" s="85"/>
      <c r="Q446" s="100"/>
    </row>
    <row r="447" spans="2:17" ht="14.4">
      <c r="B447" s="95"/>
      <c r="F447" s="99"/>
      <c r="G447" s="99"/>
      <c r="H447" s="99"/>
      <c r="I447" s="99"/>
      <c r="J447" s="99"/>
      <c r="P447" s="85"/>
      <c r="Q447" s="100"/>
    </row>
    <row r="448" spans="2:17" ht="14.4">
      <c r="B448" s="95"/>
      <c r="F448" s="99"/>
      <c r="G448" s="99"/>
      <c r="H448" s="99"/>
      <c r="I448" s="99"/>
      <c r="J448" s="99"/>
      <c r="P448" s="85"/>
      <c r="Q448" s="100"/>
    </row>
    <row r="449" spans="2:17" ht="14.4">
      <c r="B449" s="95"/>
      <c r="F449" s="99"/>
      <c r="G449" s="99"/>
      <c r="H449" s="99"/>
      <c r="I449" s="99"/>
      <c r="J449" s="99"/>
      <c r="P449" s="85"/>
      <c r="Q449" s="100"/>
    </row>
    <row r="450" spans="2:17" ht="14.4">
      <c r="B450" s="95"/>
      <c r="F450" s="99"/>
      <c r="G450" s="99"/>
      <c r="H450" s="99"/>
      <c r="I450" s="99"/>
      <c r="J450" s="99"/>
      <c r="P450" s="85"/>
      <c r="Q450" s="100"/>
    </row>
    <row r="451" spans="2:17" ht="14.4">
      <c r="B451" s="95"/>
      <c r="F451" s="99"/>
      <c r="G451" s="99"/>
      <c r="H451" s="99"/>
      <c r="I451" s="99"/>
      <c r="J451" s="99"/>
      <c r="P451" s="85"/>
      <c r="Q451" s="100"/>
    </row>
    <row r="452" spans="2:17" ht="14.4">
      <c r="B452" s="95"/>
      <c r="F452" s="99"/>
      <c r="G452" s="99"/>
      <c r="H452" s="99"/>
      <c r="I452" s="99"/>
      <c r="J452" s="99"/>
      <c r="P452" s="85"/>
      <c r="Q452" s="100"/>
    </row>
    <row r="453" spans="2:17" ht="14.4">
      <c r="B453" s="95"/>
      <c r="F453" s="99"/>
      <c r="G453" s="99"/>
      <c r="H453" s="99"/>
      <c r="I453" s="99"/>
      <c r="J453" s="99"/>
      <c r="P453" s="85"/>
      <c r="Q453" s="100"/>
    </row>
    <row r="454" spans="2:17" ht="14.4">
      <c r="B454" s="95"/>
      <c r="F454" s="99"/>
      <c r="G454" s="99"/>
      <c r="H454" s="99"/>
      <c r="I454" s="99"/>
      <c r="J454" s="99"/>
      <c r="P454" s="85"/>
      <c r="Q454" s="100"/>
    </row>
    <row r="455" spans="2:17" ht="14.4">
      <c r="B455" s="95"/>
      <c r="F455" s="99"/>
      <c r="G455" s="99"/>
      <c r="H455" s="99"/>
      <c r="I455" s="99"/>
      <c r="J455" s="99"/>
      <c r="P455" s="85"/>
      <c r="Q455" s="100"/>
    </row>
    <row r="456" spans="2:17" ht="14.4">
      <c r="B456" s="95"/>
      <c r="F456" s="99"/>
      <c r="G456" s="99"/>
      <c r="H456" s="99"/>
      <c r="I456" s="99"/>
      <c r="J456" s="99"/>
      <c r="P456" s="85"/>
      <c r="Q456" s="100"/>
    </row>
    <row r="457" spans="2:17" ht="14.4">
      <c r="B457" s="95"/>
      <c r="F457" s="99"/>
      <c r="G457" s="99"/>
      <c r="H457" s="99"/>
      <c r="I457" s="99"/>
      <c r="J457" s="99"/>
      <c r="P457" s="85"/>
      <c r="Q457" s="100"/>
    </row>
    <row r="458" spans="2:17" ht="14.4">
      <c r="B458" s="95"/>
      <c r="F458" s="99"/>
      <c r="G458" s="99"/>
      <c r="H458" s="99"/>
      <c r="I458" s="99"/>
      <c r="J458" s="99"/>
      <c r="P458" s="85"/>
      <c r="Q458" s="100"/>
    </row>
    <row r="459" spans="2:17" ht="14.4">
      <c r="B459" s="95"/>
      <c r="F459" s="99"/>
      <c r="G459" s="99"/>
      <c r="H459" s="99"/>
      <c r="I459" s="99"/>
      <c r="J459" s="99"/>
      <c r="P459" s="85"/>
      <c r="Q459" s="100"/>
    </row>
    <row r="460" spans="2:17" ht="14.4">
      <c r="B460" s="95"/>
      <c r="F460" s="99"/>
      <c r="G460" s="99"/>
      <c r="H460" s="99"/>
      <c r="I460" s="99"/>
      <c r="J460" s="99"/>
      <c r="P460" s="85"/>
      <c r="Q460" s="100"/>
    </row>
    <row r="461" spans="2:17" ht="14.4">
      <c r="B461" s="95"/>
      <c r="F461" s="99"/>
      <c r="G461" s="99"/>
      <c r="H461" s="99"/>
      <c r="I461" s="99"/>
      <c r="J461" s="99"/>
      <c r="P461" s="85"/>
      <c r="Q461" s="100"/>
    </row>
    <row r="462" spans="2:17" ht="14.4">
      <c r="B462" s="95"/>
      <c r="F462" s="99"/>
      <c r="G462" s="99"/>
      <c r="H462" s="99"/>
      <c r="I462" s="99"/>
      <c r="J462" s="99"/>
      <c r="P462" s="85"/>
      <c r="Q462" s="100"/>
    </row>
    <row r="463" spans="2:17" ht="14.4">
      <c r="B463" s="95"/>
      <c r="F463" s="99"/>
      <c r="G463" s="99"/>
      <c r="H463" s="99"/>
      <c r="I463" s="99"/>
      <c r="J463" s="99"/>
      <c r="P463" s="85"/>
      <c r="Q463" s="100"/>
    </row>
    <row r="464" spans="2:17" ht="14.4">
      <c r="B464" s="95"/>
      <c r="F464" s="99"/>
      <c r="G464" s="99"/>
      <c r="H464" s="99"/>
      <c r="I464" s="99"/>
      <c r="J464" s="99"/>
      <c r="P464" s="85"/>
      <c r="Q464" s="100"/>
    </row>
    <row r="465" spans="2:17" ht="14.4">
      <c r="B465" s="95"/>
      <c r="F465" s="99"/>
      <c r="G465" s="99"/>
      <c r="H465" s="99"/>
      <c r="I465" s="99"/>
      <c r="J465" s="99"/>
      <c r="P465" s="85"/>
      <c r="Q465" s="100"/>
    </row>
    <row r="466" spans="2:17" ht="14.4">
      <c r="B466" s="95"/>
      <c r="F466" s="99"/>
      <c r="G466" s="99"/>
      <c r="H466" s="99"/>
      <c r="I466" s="99"/>
      <c r="J466" s="99"/>
      <c r="P466" s="85"/>
      <c r="Q466" s="100"/>
    </row>
    <row r="467" spans="2:17" ht="14.4">
      <c r="B467" s="95"/>
      <c r="F467" s="99"/>
      <c r="G467" s="99"/>
      <c r="H467" s="99"/>
      <c r="I467" s="99"/>
      <c r="J467" s="99"/>
      <c r="P467" s="85"/>
      <c r="Q467" s="100"/>
    </row>
    <row r="468" spans="2:17" ht="14.4">
      <c r="B468" s="95"/>
      <c r="F468" s="99"/>
      <c r="G468" s="99"/>
      <c r="H468" s="99"/>
      <c r="I468" s="99"/>
      <c r="J468" s="99"/>
      <c r="P468" s="85"/>
      <c r="Q468" s="100"/>
    </row>
    <row r="469" spans="2:17" ht="14.4">
      <c r="B469" s="95"/>
      <c r="F469" s="99"/>
      <c r="G469" s="99"/>
      <c r="H469" s="99"/>
      <c r="I469" s="99"/>
      <c r="J469" s="99"/>
      <c r="P469" s="85"/>
      <c r="Q469" s="100"/>
    </row>
    <row r="470" spans="2:17" ht="14.4">
      <c r="B470" s="95"/>
      <c r="F470" s="99"/>
      <c r="G470" s="99"/>
      <c r="H470" s="99"/>
      <c r="I470" s="99"/>
      <c r="J470" s="99"/>
      <c r="P470" s="85"/>
      <c r="Q470" s="100"/>
    </row>
    <row r="471" spans="2:17" ht="14.4">
      <c r="B471" s="95"/>
      <c r="F471" s="99"/>
      <c r="G471" s="99"/>
      <c r="H471" s="99"/>
      <c r="I471" s="99"/>
      <c r="J471" s="99"/>
      <c r="P471" s="85"/>
      <c r="Q471" s="100"/>
    </row>
    <row r="472" spans="2:17" ht="14.4">
      <c r="B472" s="95"/>
      <c r="F472" s="99"/>
      <c r="G472" s="99"/>
      <c r="H472" s="99"/>
      <c r="I472" s="99"/>
      <c r="J472" s="99"/>
      <c r="P472" s="85"/>
      <c r="Q472" s="100"/>
    </row>
    <row r="473" spans="2:17" ht="14.4">
      <c r="B473" s="95"/>
      <c r="F473" s="99"/>
      <c r="G473" s="99"/>
      <c r="H473" s="99"/>
      <c r="I473" s="99"/>
      <c r="J473" s="99"/>
      <c r="P473" s="85"/>
      <c r="Q473" s="100"/>
    </row>
    <row r="474" spans="2:17" ht="14.4">
      <c r="B474" s="95"/>
      <c r="F474" s="99"/>
      <c r="G474" s="99"/>
      <c r="H474" s="99"/>
      <c r="I474" s="99"/>
      <c r="J474" s="99"/>
      <c r="P474" s="85"/>
      <c r="Q474" s="100"/>
    </row>
    <row r="475" spans="2:17" ht="14.4">
      <c r="B475" s="95"/>
      <c r="F475" s="99"/>
      <c r="G475" s="99"/>
      <c r="H475" s="99"/>
      <c r="I475" s="99"/>
      <c r="J475" s="99"/>
      <c r="P475" s="85"/>
      <c r="Q475" s="100"/>
    </row>
    <row r="476" spans="2:17" ht="14.4">
      <c r="B476" s="95"/>
      <c r="F476" s="99"/>
      <c r="G476" s="99"/>
      <c r="H476" s="99"/>
      <c r="I476" s="99"/>
      <c r="J476" s="99"/>
      <c r="P476" s="85"/>
      <c r="Q476" s="100"/>
    </row>
    <row r="477" spans="2:17" ht="14.4">
      <c r="B477" s="95"/>
      <c r="F477" s="99"/>
      <c r="G477" s="99"/>
      <c r="H477" s="99"/>
      <c r="I477" s="99"/>
      <c r="J477" s="99"/>
      <c r="P477" s="85"/>
      <c r="Q477" s="100"/>
    </row>
    <row r="478" spans="2:17" ht="14.4">
      <c r="B478" s="95"/>
      <c r="F478" s="99"/>
      <c r="G478" s="99"/>
      <c r="H478" s="99"/>
      <c r="I478" s="99"/>
      <c r="J478" s="99"/>
      <c r="P478" s="85"/>
      <c r="Q478" s="100"/>
    </row>
    <row r="479" spans="2:17" ht="14.4">
      <c r="B479" s="95"/>
      <c r="F479" s="99"/>
      <c r="G479" s="99"/>
      <c r="H479" s="99"/>
      <c r="I479" s="99"/>
      <c r="J479" s="99"/>
      <c r="P479" s="85"/>
      <c r="Q479" s="100"/>
    </row>
    <row r="480" spans="2:17" ht="14.4">
      <c r="B480" s="95"/>
      <c r="F480" s="99"/>
      <c r="G480" s="99"/>
      <c r="H480" s="99"/>
      <c r="I480" s="99"/>
      <c r="J480" s="99"/>
      <c r="P480" s="85"/>
      <c r="Q480" s="100"/>
    </row>
    <row r="481" spans="2:17" ht="14.4">
      <c r="B481" s="95"/>
      <c r="F481" s="99"/>
      <c r="G481" s="99"/>
      <c r="H481" s="99"/>
      <c r="I481" s="99"/>
      <c r="J481" s="99"/>
      <c r="P481" s="85"/>
      <c r="Q481" s="100"/>
    </row>
    <row r="482" spans="2:17" ht="14.4">
      <c r="B482" s="95"/>
      <c r="F482" s="99"/>
      <c r="G482" s="99"/>
      <c r="H482" s="99"/>
      <c r="I482" s="99"/>
      <c r="J482" s="99"/>
      <c r="P482" s="85"/>
      <c r="Q482" s="100"/>
    </row>
    <row r="483" spans="2:17" ht="14.4">
      <c r="B483" s="95"/>
      <c r="F483" s="99"/>
      <c r="G483" s="99"/>
      <c r="H483" s="99"/>
      <c r="I483" s="99"/>
      <c r="J483" s="99"/>
      <c r="P483" s="85"/>
      <c r="Q483" s="100"/>
    </row>
    <row r="484" spans="2:17" ht="14.4">
      <c r="B484" s="95"/>
      <c r="F484" s="99"/>
      <c r="G484" s="99"/>
      <c r="H484" s="99"/>
      <c r="I484" s="99"/>
      <c r="J484" s="99"/>
      <c r="P484" s="85"/>
      <c r="Q484" s="100"/>
    </row>
    <row r="485" spans="2:17" ht="14.4">
      <c r="B485" s="95"/>
      <c r="F485" s="99"/>
      <c r="G485" s="99"/>
      <c r="H485" s="99"/>
      <c r="I485" s="99"/>
      <c r="J485" s="99"/>
      <c r="P485" s="85"/>
      <c r="Q485" s="100"/>
    </row>
    <row r="486" spans="2:17" ht="14.4">
      <c r="B486" s="95"/>
      <c r="F486" s="99"/>
      <c r="G486" s="99"/>
      <c r="H486" s="99"/>
      <c r="I486" s="99"/>
      <c r="J486" s="99"/>
      <c r="P486" s="85"/>
      <c r="Q486" s="100"/>
    </row>
    <row r="487" spans="2:17" ht="14.4">
      <c r="B487" s="95"/>
      <c r="F487" s="99"/>
      <c r="G487" s="99"/>
      <c r="H487" s="99"/>
      <c r="I487" s="99"/>
      <c r="J487" s="99"/>
      <c r="P487" s="85"/>
      <c r="Q487" s="100"/>
    </row>
    <row r="488" spans="2:17" ht="14.4">
      <c r="B488" s="95"/>
      <c r="F488" s="99"/>
      <c r="G488" s="99"/>
      <c r="H488" s="99"/>
      <c r="I488" s="99"/>
      <c r="J488" s="99"/>
      <c r="P488" s="85"/>
      <c r="Q488" s="100"/>
    </row>
    <row r="489" spans="2:17" ht="14.4">
      <c r="B489" s="95"/>
      <c r="F489" s="99"/>
      <c r="G489" s="99"/>
      <c r="H489" s="99"/>
      <c r="I489" s="99"/>
      <c r="J489" s="99"/>
      <c r="P489" s="85"/>
      <c r="Q489" s="100"/>
    </row>
    <row r="490" spans="2:17" ht="14.4">
      <c r="B490" s="95"/>
      <c r="F490" s="99"/>
      <c r="G490" s="99"/>
      <c r="H490" s="99"/>
      <c r="I490" s="99"/>
      <c r="J490" s="99"/>
      <c r="P490" s="85"/>
      <c r="Q490" s="100"/>
    </row>
    <row r="491" spans="2:17" ht="14.4">
      <c r="B491" s="95"/>
      <c r="F491" s="99"/>
      <c r="G491" s="99"/>
      <c r="H491" s="99"/>
      <c r="I491" s="99"/>
      <c r="J491" s="99"/>
      <c r="P491" s="85"/>
      <c r="Q491" s="100"/>
    </row>
    <row r="492" spans="2:17" ht="14.4">
      <c r="B492" s="95"/>
      <c r="F492" s="99"/>
      <c r="G492" s="99"/>
      <c r="H492" s="99"/>
      <c r="I492" s="99"/>
      <c r="J492" s="99"/>
      <c r="P492" s="85"/>
      <c r="Q492" s="100"/>
    </row>
    <row r="493" spans="2:17" ht="14.4">
      <c r="B493" s="95"/>
      <c r="F493" s="99"/>
      <c r="G493" s="99"/>
      <c r="H493" s="99"/>
      <c r="I493" s="99"/>
      <c r="J493" s="99"/>
      <c r="P493" s="85"/>
      <c r="Q493" s="100"/>
    </row>
    <row r="494" spans="2:17" ht="14.4">
      <c r="B494" s="95"/>
      <c r="F494" s="99"/>
      <c r="G494" s="99"/>
      <c r="H494" s="99"/>
      <c r="I494" s="99"/>
      <c r="J494" s="99"/>
      <c r="P494" s="85"/>
      <c r="Q494" s="100"/>
    </row>
    <row r="495" spans="2:17" ht="14.4">
      <c r="B495" s="95"/>
      <c r="F495" s="99"/>
      <c r="G495" s="99"/>
      <c r="H495" s="99"/>
      <c r="I495" s="99"/>
      <c r="J495" s="99"/>
      <c r="P495" s="85"/>
      <c r="Q495" s="100"/>
    </row>
    <row r="496" spans="2:17" ht="14.4">
      <c r="B496" s="95"/>
      <c r="F496" s="99"/>
      <c r="G496" s="99"/>
      <c r="H496" s="99"/>
      <c r="I496" s="99"/>
      <c r="J496" s="99"/>
      <c r="P496" s="85"/>
      <c r="Q496" s="100"/>
    </row>
    <row r="497" spans="2:17" ht="14.4">
      <c r="B497" s="95"/>
      <c r="F497" s="99"/>
      <c r="G497" s="99"/>
      <c r="H497" s="99"/>
      <c r="I497" s="99"/>
      <c r="J497" s="99"/>
      <c r="P497" s="85"/>
      <c r="Q497" s="100"/>
    </row>
    <row r="498" spans="2:17" ht="14.4">
      <c r="B498" s="95"/>
      <c r="F498" s="99"/>
      <c r="G498" s="99"/>
      <c r="H498" s="99"/>
      <c r="I498" s="99"/>
      <c r="J498" s="99"/>
      <c r="P498" s="85"/>
      <c r="Q498" s="100"/>
    </row>
    <row r="499" spans="2:17" ht="14.4">
      <c r="B499" s="95"/>
      <c r="F499" s="99"/>
      <c r="G499" s="99"/>
      <c r="H499" s="99"/>
      <c r="I499" s="99"/>
      <c r="J499" s="99"/>
      <c r="P499" s="85"/>
      <c r="Q499" s="100"/>
    </row>
    <row r="500" spans="2:17" ht="14.4">
      <c r="B500" s="95"/>
      <c r="F500" s="99"/>
      <c r="G500" s="99"/>
      <c r="H500" s="99"/>
      <c r="I500" s="99"/>
      <c r="J500" s="99"/>
      <c r="P500" s="85"/>
      <c r="Q500" s="100"/>
    </row>
    <row r="501" spans="2:17" ht="14.4">
      <c r="B501" s="95"/>
      <c r="F501" s="99"/>
      <c r="G501" s="99"/>
      <c r="H501" s="99"/>
      <c r="I501" s="99"/>
      <c r="J501" s="99"/>
      <c r="P501" s="85"/>
      <c r="Q501" s="100"/>
    </row>
    <row r="502" spans="2:17" ht="14.4">
      <c r="B502" s="95"/>
      <c r="F502" s="99"/>
      <c r="G502" s="99"/>
      <c r="H502" s="99"/>
      <c r="I502" s="99"/>
      <c r="J502" s="99"/>
      <c r="P502" s="85"/>
      <c r="Q502" s="100"/>
    </row>
    <row r="503" spans="2:17" ht="14.4">
      <c r="B503" s="95"/>
      <c r="F503" s="99"/>
      <c r="G503" s="99"/>
      <c r="H503" s="99"/>
      <c r="I503" s="99"/>
      <c r="J503" s="99"/>
      <c r="P503" s="85"/>
      <c r="Q503" s="100"/>
    </row>
    <row r="504" spans="2:17" ht="14.4">
      <c r="B504" s="95"/>
      <c r="F504" s="99"/>
      <c r="G504" s="99"/>
      <c r="H504" s="99"/>
      <c r="I504" s="99"/>
      <c r="J504" s="99"/>
      <c r="P504" s="85"/>
      <c r="Q504" s="100"/>
    </row>
    <row r="505" spans="2:17" ht="14.4">
      <c r="B505" s="95"/>
      <c r="F505" s="99"/>
      <c r="G505" s="99"/>
      <c r="H505" s="99"/>
      <c r="I505" s="99"/>
      <c r="J505" s="99"/>
      <c r="P505" s="85"/>
      <c r="Q505" s="100"/>
    </row>
    <row r="506" spans="2:17" ht="14.4">
      <c r="B506" s="95"/>
      <c r="F506" s="99"/>
      <c r="G506" s="99"/>
      <c r="H506" s="99"/>
      <c r="I506" s="99"/>
      <c r="J506" s="99"/>
      <c r="P506" s="85"/>
      <c r="Q506" s="100"/>
    </row>
    <row r="507" spans="2:17" ht="14.4">
      <c r="B507" s="95"/>
      <c r="F507" s="99"/>
      <c r="G507" s="99"/>
      <c r="H507" s="99"/>
      <c r="I507" s="99"/>
      <c r="J507" s="99"/>
      <c r="P507" s="85"/>
      <c r="Q507" s="100"/>
    </row>
    <row r="508" spans="2:17" ht="14.4">
      <c r="B508" s="95"/>
      <c r="F508" s="99"/>
      <c r="G508" s="99"/>
      <c r="H508" s="99"/>
      <c r="I508" s="99"/>
      <c r="J508" s="99"/>
      <c r="P508" s="85"/>
      <c r="Q508" s="100"/>
    </row>
    <row r="509" spans="2:17" ht="14.4">
      <c r="B509" s="95"/>
      <c r="F509" s="99"/>
      <c r="G509" s="99"/>
      <c r="H509" s="99"/>
      <c r="I509" s="99"/>
      <c r="J509" s="99"/>
      <c r="P509" s="85"/>
      <c r="Q509" s="100"/>
    </row>
    <row r="510" spans="2:17" ht="14.4">
      <c r="B510" s="95"/>
      <c r="F510" s="99"/>
      <c r="G510" s="99"/>
      <c r="H510" s="99"/>
      <c r="I510" s="99"/>
      <c r="J510" s="99"/>
      <c r="P510" s="85"/>
      <c r="Q510" s="100"/>
    </row>
    <row r="511" spans="2:17" ht="14.4">
      <c r="B511" s="95"/>
      <c r="F511" s="99"/>
      <c r="G511" s="99"/>
      <c r="H511" s="99"/>
      <c r="I511" s="99"/>
      <c r="J511" s="99"/>
      <c r="P511" s="85"/>
      <c r="Q511" s="100"/>
    </row>
    <row r="512" spans="2:17" ht="14.4">
      <c r="B512" s="95"/>
      <c r="F512" s="99"/>
      <c r="G512" s="99"/>
      <c r="H512" s="99"/>
      <c r="I512" s="99"/>
      <c r="J512" s="99"/>
      <c r="P512" s="85"/>
      <c r="Q512" s="100"/>
    </row>
    <row r="513" spans="2:17" ht="14.4">
      <c r="B513" s="95"/>
      <c r="F513" s="99"/>
      <c r="G513" s="99"/>
      <c r="H513" s="99"/>
      <c r="I513" s="99"/>
      <c r="J513" s="99"/>
      <c r="P513" s="85"/>
      <c r="Q513" s="100"/>
    </row>
    <row r="514" spans="2:17" ht="14.4">
      <c r="B514" s="95"/>
      <c r="F514" s="99"/>
      <c r="G514" s="99"/>
      <c r="H514" s="99"/>
      <c r="I514" s="99"/>
      <c r="J514" s="99"/>
      <c r="P514" s="85"/>
      <c r="Q514" s="100"/>
    </row>
    <row r="515" spans="2:17" ht="14.4">
      <c r="B515" s="95"/>
      <c r="F515" s="99"/>
      <c r="G515" s="99"/>
      <c r="H515" s="99"/>
      <c r="I515" s="99"/>
      <c r="J515" s="99"/>
      <c r="P515" s="85"/>
      <c r="Q515" s="100"/>
    </row>
    <row r="516" spans="2:17" ht="14.4">
      <c r="B516" s="95"/>
      <c r="F516" s="99"/>
      <c r="G516" s="99"/>
      <c r="H516" s="99"/>
      <c r="I516" s="99"/>
      <c r="J516" s="99"/>
      <c r="P516" s="85"/>
      <c r="Q516" s="100"/>
    </row>
    <row r="517" spans="2:17" ht="14.4">
      <c r="B517" s="95"/>
      <c r="F517" s="99"/>
      <c r="G517" s="99"/>
      <c r="H517" s="99"/>
      <c r="I517" s="99"/>
      <c r="J517" s="99"/>
      <c r="P517" s="85"/>
      <c r="Q517" s="100"/>
    </row>
    <row r="518" spans="2:17" ht="14.4">
      <c r="B518" s="95"/>
      <c r="F518" s="99"/>
      <c r="G518" s="99"/>
      <c r="H518" s="99"/>
      <c r="I518" s="99"/>
      <c r="J518" s="99"/>
      <c r="P518" s="85"/>
      <c r="Q518" s="100"/>
    </row>
    <row r="519" spans="2:17" ht="14.4">
      <c r="B519" s="95"/>
      <c r="F519" s="99"/>
      <c r="G519" s="99"/>
      <c r="H519" s="99"/>
      <c r="I519" s="99"/>
      <c r="J519" s="99"/>
      <c r="P519" s="85"/>
      <c r="Q519" s="100"/>
    </row>
    <row r="520" spans="2:17" ht="14.4">
      <c r="B520" s="95"/>
      <c r="F520" s="99"/>
      <c r="G520" s="99"/>
      <c r="H520" s="99"/>
      <c r="I520" s="99"/>
      <c r="J520" s="99"/>
      <c r="P520" s="85"/>
      <c r="Q520" s="100"/>
    </row>
    <row r="521" spans="2:17" ht="14.4">
      <c r="B521" s="95"/>
      <c r="F521" s="99"/>
      <c r="G521" s="99"/>
      <c r="H521" s="99"/>
      <c r="I521" s="99"/>
      <c r="J521" s="99"/>
      <c r="P521" s="85"/>
      <c r="Q521" s="100"/>
    </row>
    <row r="522" spans="2:17" ht="14.4">
      <c r="B522" s="95"/>
      <c r="F522" s="99"/>
      <c r="G522" s="99"/>
      <c r="H522" s="99"/>
      <c r="I522" s="99"/>
      <c r="J522" s="99"/>
      <c r="P522" s="85"/>
      <c r="Q522" s="100"/>
    </row>
    <row r="523" spans="2:17" ht="14.4">
      <c r="B523" s="95"/>
      <c r="F523" s="99"/>
      <c r="G523" s="99"/>
      <c r="H523" s="99"/>
      <c r="I523" s="99"/>
      <c r="J523" s="99"/>
      <c r="P523" s="85"/>
      <c r="Q523" s="100"/>
    </row>
    <row r="524" spans="2:17" ht="14.4">
      <c r="B524" s="95"/>
      <c r="F524" s="99"/>
      <c r="G524" s="99"/>
      <c r="H524" s="99"/>
      <c r="I524" s="99"/>
      <c r="J524" s="99"/>
      <c r="P524" s="85"/>
      <c r="Q524" s="100"/>
    </row>
    <row r="525" spans="2:17" ht="14.4">
      <c r="B525" s="95"/>
      <c r="F525" s="99"/>
      <c r="G525" s="99"/>
      <c r="H525" s="99"/>
      <c r="I525" s="99"/>
      <c r="J525" s="99"/>
      <c r="P525" s="85"/>
      <c r="Q525" s="100"/>
    </row>
    <row r="526" spans="2:17" ht="14.4">
      <c r="B526" s="95"/>
      <c r="F526" s="99"/>
      <c r="G526" s="99"/>
      <c r="H526" s="99"/>
      <c r="I526" s="99"/>
      <c r="J526" s="99"/>
      <c r="P526" s="85"/>
      <c r="Q526" s="100"/>
    </row>
    <row r="527" spans="2:17" ht="14.4">
      <c r="B527" s="95"/>
      <c r="F527" s="99"/>
      <c r="G527" s="99"/>
      <c r="H527" s="99"/>
      <c r="I527" s="99"/>
      <c r="J527" s="99"/>
      <c r="P527" s="85"/>
      <c r="Q527" s="100"/>
    </row>
    <row r="528" spans="2:17" ht="14.4">
      <c r="B528" s="95"/>
      <c r="F528" s="99"/>
      <c r="G528" s="99"/>
      <c r="H528" s="99"/>
      <c r="I528" s="99"/>
      <c r="J528" s="99"/>
      <c r="P528" s="85"/>
      <c r="Q528" s="100"/>
    </row>
    <row r="529" spans="2:17" ht="14.4">
      <c r="B529" s="95"/>
      <c r="F529" s="99"/>
      <c r="G529" s="99"/>
      <c r="H529" s="99"/>
      <c r="I529" s="99"/>
      <c r="J529" s="99"/>
      <c r="P529" s="85"/>
      <c r="Q529" s="100"/>
    </row>
    <row r="530" spans="2:17" ht="14.4">
      <c r="B530" s="95"/>
      <c r="F530" s="99"/>
      <c r="G530" s="99"/>
      <c r="H530" s="99"/>
      <c r="I530" s="99"/>
      <c r="J530" s="99"/>
      <c r="P530" s="85"/>
      <c r="Q530" s="100"/>
    </row>
    <row r="531" spans="2:17" ht="14.4">
      <c r="B531" s="95"/>
      <c r="F531" s="99"/>
      <c r="G531" s="99"/>
      <c r="H531" s="99"/>
      <c r="I531" s="99"/>
      <c r="J531" s="99"/>
      <c r="P531" s="85"/>
      <c r="Q531" s="100"/>
    </row>
    <row r="532" spans="2:17" ht="14.4">
      <c r="B532" s="95"/>
      <c r="F532" s="99"/>
      <c r="G532" s="99"/>
      <c r="H532" s="99"/>
      <c r="I532" s="99"/>
      <c r="J532" s="99"/>
      <c r="P532" s="85"/>
      <c r="Q532" s="100"/>
    </row>
    <row r="533" spans="2:17" ht="14.4">
      <c r="B533" s="95"/>
      <c r="F533" s="99"/>
      <c r="G533" s="99"/>
      <c r="H533" s="99"/>
      <c r="I533" s="99"/>
      <c r="J533" s="99"/>
      <c r="P533" s="85"/>
      <c r="Q533" s="100"/>
    </row>
    <row r="534" spans="2:17" ht="14.4">
      <c r="B534" s="95"/>
      <c r="F534" s="99"/>
      <c r="G534" s="99"/>
      <c r="H534" s="99"/>
      <c r="I534" s="99"/>
      <c r="J534" s="99"/>
      <c r="P534" s="85"/>
      <c r="Q534" s="100"/>
    </row>
    <row r="535" spans="2:17" ht="14.4">
      <c r="B535" s="95"/>
      <c r="F535" s="99"/>
      <c r="G535" s="99"/>
      <c r="H535" s="99"/>
      <c r="I535" s="99"/>
      <c r="J535" s="99"/>
      <c r="P535" s="85"/>
      <c r="Q535" s="100"/>
    </row>
    <row r="536" spans="2:17" ht="14.4">
      <c r="B536" s="95"/>
      <c r="F536" s="99"/>
      <c r="G536" s="99"/>
      <c r="H536" s="99"/>
      <c r="I536" s="99"/>
      <c r="J536" s="99"/>
      <c r="P536" s="85"/>
      <c r="Q536" s="100"/>
    </row>
    <row r="537" spans="2:17" ht="14.4">
      <c r="B537" s="95"/>
      <c r="F537" s="99"/>
      <c r="G537" s="99"/>
      <c r="H537" s="99"/>
      <c r="I537" s="99"/>
      <c r="J537" s="99"/>
      <c r="P537" s="85"/>
      <c r="Q537" s="100"/>
    </row>
    <row r="538" spans="2:17" ht="14.4">
      <c r="B538" s="95"/>
      <c r="F538" s="99"/>
      <c r="G538" s="99"/>
      <c r="H538" s="99"/>
      <c r="I538" s="99"/>
      <c r="J538" s="99"/>
      <c r="P538" s="85"/>
      <c r="Q538" s="100"/>
    </row>
    <row r="539" spans="2:17" ht="14.4">
      <c r="B539" s="95"/>
      <c r="F539" s="99"/>
      <c r="G539" s="99"/>
      <c r="H539" s="99"/>
      <c r="I539" s="99"/>
      <c r="J539" s="99"/>
      <c r="P539" s="85"/>
      <c r="Q539" s="100"/>
    </row>
    <row r="540" spans="2:17" ht="14.4">
      <c r="B540" s="95"/>
      <c r="F540" s="99"/>
      <c r="G540" s="99"/>
      <c r="H540" s="99"/>
      <c r="I540" s="99"/>
      <c r="J540" s="99"/>
      <c r="P540" s="85"/>
      <c r="Q540" s="100"/>
    </row>
    <row r="541" spans="2:17" ht="14.4">
      <c r="B541" s="95"/>
      <c r="F541" s="99"/>
      <c r="G541" s="99"/>
      <c r="H541" s="99"/>
      <c r="I541" s="99"/>
      <c r="J541" s="99"/>
      <c r="P541" s="85"/>
      <c r="Q541" s="100"/>
    </row>
    <row r="542" spans="2:17" ht="14.4">
      <c r="B542" s="95"/>
      <c r="F542" s="99"/>
      <c r="G542" s="99"/>
      <c r="H542" s="99"/>
      <c r="I542" s="99"/>
      <c r="J542" s="99"/>
      <c r="P542" s="85"/>
      <c r="Q542" s="100"/>
    </row>
    <row r="543" spans="2:17" ht="14.4">
      <c r="B543" s="95"/>
      <c r="F543" s="99"/>
      <c r="G543" s="99"/>
      <c r="H543" s="99"/>
      <c r="I543" s="99"/>
      <c r="J543" s="99"/>
      <c r="P543" s="85"/>
      <c r="Q543" s="100"/>
    </row>
    <row r="544" spans="2:17" ht="14.4">
      <c r="B544" s="95"/>
      <c r="F544" s="99"/>
      <c r="G544" s="99"/>
      <c r="H544" s="99"/>
      <c r="I544" s="99"/>
      <c r="J544" s="99"/>
      <c r="P544" s="85"/>
      <c r="Q544" s="100"/>
    </row>
    <row r="545" spans="2:17" ht="14.4">
      <c r="B545" s="95"/>
      <c r="F545" s="99"/>
      <c r="G545" s="99"/>
      <c r="H545" s="99"/>
      <c r="I545" s="99"/>
      <c r="J545" s="99"/>
      <c r="P545" s="85"/>
      <c r="Q545" s="100"/>
    </row>
    <row r="546" spans="2:17" ht="14.4">
      <c r="B546" s="95"/>
      <c r="F546" s="99"/>
      <c r="G546" s="99"/>
      <c r="H546" s="99"/>
      <c r="I546" s="99"/>
      <c r="J546" s="99"/>
      <c r="P546" s="85"/>
      <c r="Q546" s="100"/>
    </row>
    <row r="547" spans="2:17" ht="14.4">
      <c r="B547" s="95"/>
      <c r="F547" s="99"/>
      <c r="G547" s="99"/>
      <c r="H547" s="99"/>
      <c r="I547" s="99"/>
      <c r="J547" s="99"/>
      <c r="P547" s="85"/>
      <c r="Q547" s="100"/>
    </row>
    <row r="548" spans="2:17" ht="14.4">
      <c r="B548" s="95"/>
      <c r="F548" s="99"/>
      <c r="G548" s="99"/>
      <c r="H548" s="99"/>
      <c r="I548" s="99"/>
      <c r="J548" s="99"/>
      <c r="P548" s="85"/>
      <c r="Q548" s="100"/>
    </row>
    <row r="549" spans="2:17" ht="14.4">
      <c r="B549" s="95"/>
      <c r="F549" s="99"/>
      <c r="G549" s="99"/>
      <c r="H549" s="99"/>
      <c r="I549" s="99"/>
      <c r="J549" s="99"/>
      <c r="P549" s="85"/>
      <c r="Q549" s="100"/>
    </row>
    <row r="550" spans="2:17" ht="14.4">
      <c r="B550" s="95"/>
      <c r="F550" s="99"/>
      <c r="G550" s="99"/>
      <c r="H550" s="99"/>
      <c r="I550" s="99"/>
      <c r="J550" s="99"/>
      <c r="P550" s="85"/>
      <c r="Q550" s="100"/>
    </row>
    <row r="551" spans="2:17" ht="14.4">
      <c r="B551" s="95"/>
      <c r="F551" s="99"/>
      <c r="G551" s="99"/>
      <c r="H551" s="99"/>
      <c r="I551" s="99"/>
      <c r="J551" s="99"/>
      <c r="P551" s="85"/>
      <c r="Q551" s="100"/>
    </row>
    <row r="552" spans="2:17" ht="14.4">
      <c r="B552" s="95"/>
      <c r="F552" s="99"/>
      <c r="G552" s="99"/>
      <c r="H552" s="99"/>
      <c r="I552" s="99"/>
      <c r="J552" s="99"/>
      <c r="P552" s="85"/>
      <c r="Q552" s="100"/>
    </row>
    <row r="553" spans="2:17" ht="14.4">
      <c r="B553" s="95"/>
      <c r="F553" s="99"/>
      <c r="G553" s="99"/>
      <c r="H553" s="99"/>
      <c r="I553" s="99"/>
      <c r="J553" s="99"/>
      <c r="P553" s="85"/>
      <c r="Q553" s="100"/>
    </row>
    <row r="554" spans="2:17" ht="14.4">
      <c r="B554" s="95"/>
      <c r="F554" s="99"/>
      <c r="G554" s="99"/>
      <c r="H554" s="99"/>
      <c r="I554" s="99"/>
      <c r="J554" s="99"/>
      <c r="P554" s="85"/>
      <c r="Q554" s="100"/>
    </row>
    <row r="555" spans="2:17" ht="14.4">
      <c r="B555" s="95"/>
      <c r="F555" s="99"/>
      <c r="G555" s="99"/>
      <c r="H555" s="99"/>
      <c r="I555" s="99"/>
      <c r="J555" s="99"/>
      <c r="P555" s="85"/>
      <c r="Q555" s="100"/>
    </row>
    <row r="556" spans="2:17" ht="14.4">
      <c r="B556" s="95"/>
      <c r="F556" s="99"/>
      <c r="G556" s="99"/>
      <c r="H556" s="99"/>
      <c r="I556" s="99"/>
      <c r="J556" s="99"/>
      <c r="P556" s="85"/>
      <c r="Q556" s="100"/>
    </row>
    <row r="557" spans="2:17" ht="14.4">
      <c r="B557" s="95"/>
      <c r="F557" s="99"/>
      <c r="G557" s="99"/>
      <c r="H557" s="99"/>
      <c r="I557" s="99"/>
      <c r="J557" s="99"/>
      <c r="P557" s="85"/>
      <c r="Q557" s="100"/>
    </row>
    <row r="558" spans="2:17" ht="14.4">
      <c r="B558" s="95"/>
      <c r="F558" s="99"/>
      <c r="G558" s="99"/>
      <c r="H558" s="99"/>
      <c r="I558" s="99"/>
      <c r="J558" s="99"/>
      <c r="P558" s="85"/>
      <c r="Q558" s="100"/>
    </row>
    <row r="559" spans="2:17" ht="14.4">
      <c r="B559" s="95"/>
      <c r="F559" s="99"/>
      <c r="G559" s="99"/>
      <c r="H559" s="99"/>
      <c r="I559" s="99"/>
      <c r="J559" s="99"/>
      <c r="P559" s="85"/>
      <c r="Q559" s="100"/>
    </row>
    <row r="560" spans="2:17" ht="14.4">
      <c r="B560" s="95"/>
      <c r="F560" s="99"/>
      <c r="G560" s="99"/>
      <c r="H560" s="99"/>
      <c r="I560" s="99"/>
      <c r="J560" s="99"/>
      <c r="P560" s="85"/>
      <c r="Q560" s="100"/>
    </row>
    <row r="561" spans="2:17" ht="14.4">
      <c r="B561" s="95"/>
      <c r="F561" s="99"/>
      <c r="G561" s="99"/>
      <c r="H561" s="99"/>
      <c r="I561" s="99"/>
      <c r="J561" s="99"/>
      <c r="P561" s="85"/>
      <c r="Q561" s="100"/>
    </row>
    <row r="562" spans="2:17" ht="14.4">
      <c r="B562" s="95"/>
      <c r="F562" s="99"/>
      <c r="G562" s="99"/>
      <c r="H562" s="99"/>
      <c r="I562" s="99"/>
      <c r="J562" s="99"/>
      <c r="P562" s="85"/>
      <c r="Q562" s="100"/>
    </row>
    <row r="563" spans="2:17" ht="14.4">
      <c r="B563" s="95"/>
      <c r="F563" s="99"/>
      <c r="G563" s="99"/>
      <c r="H563" s="99"/>
      <c r="I563" s="99"/>
      <c r="J563" s="99"/>
      <c r="P563" s="85"/>
      <c r="Q563" s="100"/>
    </row>
    <row r="564" spans="2:17" ht="14.4">
      <c r="B564" s="95"/>
      <c r="F564" s="99"/>
      <c r="G564" s="99"/>
      <c r="H564" s="99"/>
      <c r="I564" s="99"/>
      <c r="J564" s="99"/>
      <c r="P564" s="85"/>
      <c r="Q564" s="100"/>
    </row>
    <row r="565" spans="2:17" ht="14.4">
      <c r="B565" s="95"/>
      <c r="F565" s="99"/>
      <c r="G565" s="99"/>
      <c r="H565" s="99"/>
      <c r="I565" s="99"/>
      <c r="J565" s="99"/>
      <c r="P565" s="85"/>
      <c r="Q565" s="100"/>
    </row>
    <row r="566" spans="2:17" ht="14.4">
      <c r="B566" s="95"/>
      <c r="F566" s="99"/>
      <c r="G566" s="99"/>
      <c r="H566" s="99"/>
      <c r="I566" s="99"/>
      <c r="J566" s="99"/>
      <c r="P566" s="85"/>
      <c r="Q566" s="100"/>
    </row>
    <row r="567" spans="2:17" ht="14.4">
      <c r="B567" s="95"/>
      <c r="F567" s="99"/>
      <c r="G567" s="99"/>
      <c r="H567" s="99"/>
      <c r="I567" s="99"/>
      <c r="J567" s="99"/>
      <c r="P567" s="85"/>
      <c r="Q567" s="100"/>
    </row>
    <row r="568" spans="2:17" ht="14.4">
      <c r="B568" s="95"/>
      <c r="F568" s="99"/>
      <c r="G568" s="99"/>
      <c r="H568" s="99"/>
      <c r="I568" s="99"/>
      <c r="J568" s="99"/>
      <c r="P568" s="85"/>
      <c r="Q568" s="100"/>
    </row>
    <row r="569" spans="2:17" ht="14.4">
      <c r="B569" s="95"/>
      <c r="F569" s="99"/>
      <c r="G569" s="99"/>
      <c r="H569" s="99"/>
      <c r="I569" s="99"/>
      <c r="J569" s="99"/>
      <c r="P569" s="85"/>
      <c r="Q569" s="100"/>
    </row>
    <row r="570" spans="2:17" ht="14.4">
      <c r="B570" s="95"/>
      <c r="F570" s="99"/>
      <c r="G570" s="99"/>
      <c r="H570" s="99"/>
      <c r="I570" s="99"/>
      <c r="J570" s="99"/>
      <c r="P570" s="85"/>
      <c r="Q570" s="100"/>
    </row>
    <row r="571" spans="2:17" ht="14.4">
      <c r="B571" s="95"/>
      <c r="F571" s="99"/>
      <c r="G571" s="99"/>
      <c r="H571" s="99"/>
      <c r="I571" s="99"/>
      <c r="J571" s="99"/>
      <c r="P571" s="85"/>
      <c r="Q571" s="100"/>
    </row>
    <row r="572" spans="2:17" ht="14.4">
      <c r="B572" s="95"/>
      <c r="F572" s="99"/>
      <c r="G572" s="99"/>
      <c r="H572" s="99"/>
      <c r="I572" s="99"/>
      <c r="J572" s="99"/>
      <c r="P572" s="85"/>
      <c r="Q572" s="100"/>
    </row>
    <row r="573" spans="2:17" ht="14.4">
      <c r="B573" s="95"/>
      <c r="F573" s="99"/>
      <c r="G573" s="99"/>
      <c r="H573" s="99"/>
      <c r="I573" s="99"/>
      <c r="J573" s="99"/>
      <c r="P573" s="85"/>
      <c r="Q573" s="100"/>
    </row>
    <row r="574" spans="2:17" ht="14.4">
      <c r="B574" s="95"/>
      <c r="F574" s="99"/>
      <c r="G574" s="99"/>
      <c r="H574" s="99"/>
      <c r="I574" s="99"/>
      <c r="J574" s="99"/>
      <c r="P574" s="85"/>
      <c r="Q574" s="100"/>
    </row>
    <row r="575" spans="2:17" ht="14.4">
      <c r="B575" s="95"/>
      <c r="F575" s="99"/>
      <c r="G575" s="99"/>
      <c r="H575" s="99"/>
      <c r="I575" s="99"/>
      <c r="J575" s="99"/>
      <c r="P575" s="85"/>
      <c r="Q575" s="100"/>
    </row>
    <row r="576" spans="2:17" ht="14.4">
      <c r="B576" s="95"/>
      <c r="F576" s="99"/>
      <c r="G576" s="99"/>
      <c r="H576" s="99"/>
      <c r="I576" s="99"/>
      <c r="J576" s="99"/>
      <c r="P576" s="85"/>
      <c r="Q576" s="100"/>
    </row>
    <row r="577" spans="2:17" ht="14.4">
      <c r="B577" s="95"/>
      <c r="F577" s="99"/>
      <c r="G577" s="99"/>
      <c r="H577" s="99"/>
      <c r="I577" s="99"/>
      <c r="J577" s="99"/>
      <c r="P577" s="85"/>
      <c r="Q577" s="100"/>
    </row>
    <row r="578" spans="2:17" ht="14.4">
      <c r="B578" s="95"/>
      <c r="F578" s="99"/>
      <c r="G578" s="99"/>
      <c r="H578" s="99"/>
      <c r="I578" s="99"/>
      <c r="J578" s="99"/>
      <c r="P578" s="85"/>
      <c r="Q578" s="100"/>
    </row>
    <row r="579" spans="2:17" ht="14.4">
      <c r="B579" s="95"/>
      <c r="F579" s="99"/>
      <c r="G579" s="99"/>
      <c r="H579" s="99"/>
      <c r="I579" s="99"/>
      <c r="J579" s="99"/>
      <c r="P579" s="85"/>
      <c r="Q579" s="100"/>
    </row>
    <row r="580" spans="2:17" ht="14.4">
      <c r="B580" s="95"/>
      <c r="F580" s="99"/>
      <c r="G580" s="99"/>
      <c r="H580" s="99"/>
      <c r="I580" s="99"/>
      <c r="J580" s="99"/>
      <c r="P580" s="85"/>
      <c r="Q580" s="100"/>
    </row>
    <row r="581" spans="2:17" ht="14.4">
      <c r="B581" s="95"/>
      <c r="F581" s="99"/>
      <c r="G581" s="99"/>
      <c r="H581" s="99"/>
      <c r="I581" s="99"/>
      <c r="J581" s="99"/>
      <c r="P581" s="85"/>
      <c r="Q581" s="100"/>
    </row>
    <row r="582" spans="2:17" ht="14.4">
      <c r="B582" s="95"/>
      <c r="F582" s="99"/>
      <c r="G582" s="99"/>
      <c r="H582" s="99"/>
      <c r="I582" s="99"/>
      <c r="J582" s="99"/>
      <c r="P582" s="85"/>
      <c r="Q582" s="100"/>
    </row>
    <row r="583" spans="2:17" ht="14.4">
      <c r="B583" s="95"/>
      <c r="F583" s="99"/>
      <c r="G583" s="99"/>
      <c r="H583" s="99"/>
      <c r="I583" s="99"/>
      <c r="J583" s="99"/>
      <c r="P583" s="85"/>
      <c r="Q583" s="100"/>
    </row>
    <row r="584" spans="2:17" ht="14.4">
      <c r="B584" s="95"/>
      <c r="F584" s="99"/>
      <c r="G584" s="99"/>
      <c r="H584" s="99"/>
      <c r="I584" s="99"/>
      <c r="J584" s="99"/>
      <c r="P584" s="85"/>
      <c r="Q584" s="100"/>
    </row>
    <row r="585" spans="2:17" ht="14.4">
      <c r="B585" s="95"/>
      <c r="F585" s="99"/>
      <c r="G585" s="99"/>
      <c r="H585" s="99"/>
      <c r="I585" s="99"/>
      <c r="J585" s="99"/>
      <c r="P585" s="85"/>
      <c r="Q585" s="100"/>
    </row>
    <row r="586" spans="2:17" ht="14.4">
      <c r="B586" s="95"/>
      <c r="F586" s="99"/>
      <c r="G586" s="99"/>
      <c r="H586" s="99"/>
      <c r="I586" s="99"/>
      <c r="J586" s="99"/>
      <c r="P586" s="85"/>
      <c r="Q586" s="100"/>
    </row>
    <row r="587" spans="2:17" ht="14.4">
      <c r="B587" s="95"/>
      <c r="F587" s="99"/>
      <c r="G587" s="99"/>
      <c r="H587" s="99"/>
      <c r="I587" s="99"/>
      <c r="J587" s="99"/>
      <c r="P587" s="85"/>
      <c r="Q587" s="100"/>
    </row>
    <row r="588" spans="2:17" ht="14.4">
      <c r="B588" s="95"/>
      <c r="F588" s="99"/>
      <c r="G588" s="99"/>
      <c r="H588" s="99"/>
      <c r="I588" s="99"/>
      <c r="J588" s="99"/>
      <c r="P588" s="85"/>
      <c r="Q588" s="100"/>
    </row>
    <row r="589" spans="2:17" ht="14.4">
      <c r="B589" s="95"/>
      <c r="F589" s="99"/>
      <c r="G589" s="99"/>
      <c r="H589" s="99"/>
      <c r="I589" s="99"/>
      <c r="J589" s="99"/>
      <c r="P589" s="85"/>
      <c r="Q589" s="100"/>
    </row>
    <row r="590" spans="2:17" ht="14.4">
      <c r="B590" s="95"/>
      <c r="F590" s="99"/>
      <c r="G590" s="99"/>
      <c r="H590" s="99"/>
      <c r="I590" s="99"/>
      <c r="J590" s="99"/>
      <c r="P590" s="85"/>
      <c r="Q590" s="100"/>
    </row>
    <row r="591" spans="2:17" ht="14.4">
      <c r="B591" s="95"/>
      <c r="F591" s="99"/>
      <c r="G591" s="99"/>
      <c r="H591" s="99"/>
      <c r="I591" s="99"/>
      <c r="J591" s="99"/>
      <c r="P591" s="85"/>
      <c r="Q591" s="100"/>
    </row>
    <row r="592" spans="2:17" ht="14.4">
      <c r="B592" s="95"/>
      <c r="F592" s="99"/>
      <c r="G592" s="99"/>
      <c r="H592" s="99"/>
      <c r="I592" s="99"/>
      <c r="J592" s="99"/>
      <c r="P592" s="85"/>
      <c r="Q592" s="100"/>
    </row>
    <row r="593" spans="2:17" ht="14.4">
      <c r="B593" s="95"/>
      <c r="F593" s="99"/>
      <c r="G593" s="99"/>
      <c r="H593" s="99"/>
      <c r="I593" s="99"/>
      <c r="J593" s="99"/>
      <c r="P593" s="85"/>
      <c r="Q593" s="100"/>
    </row>
    <row r="594" spans="2:17" ht="14.4">
      <c r="B594" s="95"/>
      <c r="F594" s="99"/>
      <c r="G594" s="99"/>
      <c r="H594" s="99"/>
      <c r="I594" s="99"/>
      <c r="J594" s="99"/>
      <c r="P594" s="85"/>
      <c r="Q594" s="100"/>
    </row>
    <row r="595" spans="2:17" ht="14.4">
      <c r="B595" s="95"/>
      <c r="F595" s="99"/>
      <c r="G595" s="99"/>
      <c r="H595" s="99"/>
      <c r="I595" s="99"/>
      <c r="J595" s="99"/>
      <c r="P595" s="85"/>
      <c r="Q595" s="100"/>
    </row>
    <row r="596" spans="2:17" ht="14.4">
      <c r="B596" s="95"/>
      <c r="F596" s="99"/>
      <c r="G596" s="99"/>
      <c r="H596" s="99"/>
      <c r="I596" s="99"/>
      <c r="J596" s="99"/>
      <c r="P596" s="85"/>
      <c r="Q596" s="100"/>
    </row>
    <row r="597" spans="2:17" ht="14.4">
      <c r="B597" s="95"/>
      <c r="F597" s="99"/>
      <c r="G597" s="99"/>
      <c r="H597" s="99"/>
      <c r="I597" s="99"/>
      <c r="J597" s="99"/>
      <c r="P597" s="85"/>
      <c r="Q597" s="100"/>
    </row>
    <row r="598" spans="2:17" ht="14.4">
      <c r="B598" s="95"/>
      <c r="F598" s="99"/>
      <c r="G598" s="99"/>
      <c r="H598" s="99"/>
      <c r="I598" s="99"/>
      <c r="J598" s="99"/>
      <c r="P598" s="85"/>
      <c r="Q598" s="100"/>
    </row>
    <row r="599" spans="2:17" ht="14.4">
      <c r="B599" s="95"/>
      <c r="F599" s="99"/>
      <c r="G599" s="99"/>
      <c r="H599" s="99"/>
      <c r="I599" s="99"/>
      <c r="J599" s="99"/>
      <c r="P599" s="85"/>
      <c r="Q599" s="100"/>
    </row>
    <row r="600" spans="2:17" ht="14.4">
      <c r="B600" s="95"/>
      <c r="F600" s="99"/>
      <c r="G600" s="99"/>
      <c r="H600" s="99"/>
      <c r="I600" s="99"/>
      <c r="J600" s="99"/>
      <c r="P600" s="85"/>
      <c r="Q600" s="100"/>
    </row>
    <row r="601" spans="2:17" ht="14.4">
      <c r="B601" s="95"/>
      <c r="F601" s="99"/>
      <c r="G601" s="99"/>
      <c r="H601" s="99"/>
      <c r="I601" s="99"/>
      <c r="J601" s="99"/>
      <c r="P601" s="85"/>
      <c r="Q601" s="100"/>
    </row>
    <row r="602" spans="2:17" ht="14.4">
      <c r="B602" s="95"/>
      <c r="F602" s="99"/>
      <c r="G602" s="99"/>
      <c r="H602" s="99"/>
      <c r="I602" s="99"/>
      <c r="J602" s="99"/>
      <c r="P602" s="85"/>
      <c r="Q602" s="100"/>
    </row>
    <row r="603" spans="2:17" ht="14.4">
      <c r="B603" s="95"/>
      <c r="F603" s="99"/>
      <c r="G603" s="99"/>
      <c r="H603" s="99"/>
      <c r="I603" s="99"/>
      <c r="J603" s="99"/>
      <c r="P603" s="85"/>
      <c r="Q603" s="100"/>
    </row>
    <row r="604" spans="2:17" ht="14.4">
      <c r="B604" s="95"/>
      <c r="F604" s="99"/>
      <c r="G604" s="99"/>
      <c r="H604" s="99"/>
      <c r="I604" s="99"/>
      <c r="J604" s="99"/>
      <c r="P604" s="85"/>
      <c r="Q604" s="100"/>
    </row>
    <row r="605" spans="2:17" ht="14.4">
      <c r="B605" s="95"/>
      <c r="F605" s="99"/>
      <c r="G605" s="99"/>
      <c r="H605" s="99"/>
      <c r="I605" s="99"/>
      <c r="J605" s="99"/>
      <c r="P605" s="85"/>
      <c r="Q605" s="100"/>
    </row>
    <row r="606" spans="2:17" ht="14.4">
      <c r="B606" s="95"/>
      <c r="F606" s="99"/>
      <c r="G606" s="99"/>
      <c r="H606" s="99"/>
      <c r="I606" s="99"/>
      <c r="J606" s="99"/>
      <c r="P606" s="85"/>
      <c r="Q606" s="100"/>
    </row>
    <row r="607" spans="2:17" ht="14.4">
      <c r="B607" s="95"/>
      <c r="F607" s="99"/>
      <c r="G607" s="99"/>
      <c r="H607" s="99"/>
      <c r="I607" s="99"/>
      <c r="J607" s="99"/>
      <c r="P607" s="85"/>
      <c r="Q607" s="100"/>
    </row>
    <row r="608" spans="2:17" ht="14.4">
      <c r="B608" s="95"/>
      <c r="F608" s="99"/>
      <c r="G608" s="99"/>
      <c r="H608" s="99"/>
      <c r="I608" s="99"/>
      <c r="J608" s="99"/>
      <c r="P608" s="85"/>
      <c r="Q608" s="100"/>
    </row>
    <row r="609" spans="2:17" ht="14.4">
      <c r="B609" s="95"/>
      <c r="F609" s="99"/>
      <c r="G609" s="99"/>
      <c r="H609" s="99"/>
      <c r="I609" s="99"/>
      <c r="J609" s="99"/>
      <c r="P609" s="85"/>
      <c r="Q609" s="100"/>
    </row>
    <row r="610" spans="2:17" ht="14.4">
      <c r="B610" s="95"/>
      <c r="F610" s="99"/>
      <c r="G610" s="99"/>
      <c r="H610" s="99"/>
      <c r="I610" s="99"/>
      <c r="J610" s="99"/>
      <c r="P610" s="85"/>
      <c r="Q610" s="100"/>
    </row>
    <row r="611" spans="2:17" ht="14.4">
      <c r="B611" s="95"/>
      <c r="F611" s="99"/>
      <c r="G611" s="99"/>
      <c r="H611" s="99"/>
      <c r="I611" s="99"/>
      <c r="J611" s="99"/>
      <c r="P611" s="85"/>
      <c r="Q611" s="100"/>
    </row>
    <row r="612" spans="2:17" ht="14.4">
      <c r="B612" s="95"/>
      <c r="F612" s="99"/>
      <c r="G612" s="99"/>
      <c r="H612" s="99"/>
      <c r="I612" s="99"/>
      <c r="J612" s="99"/>
      <c r="P612" s="85"/>
      <c r="Q612" s="100"/>
    </row>
    <row r="613" spans="2:17" ht="14.4">
      <c r="B613" s="95"/>
      <c r="F613" s="99"/>
      <c r="G613" s="99"/>
      <c r="H613" s="99"/>
      <c r="I613" s="99"/>
      <c r="J613" s="99"/>
      <c r="P613" s="85"/>
      <c r="Q613" s="100"/>
    </row>
    <row r="614" spans="2:17" ht="14.4">
      <c r="B614" s="95"/>
      <c r="F614" s="99"/>
      <c r="G614" s="99"/>
      <c r="H614" s="99"/>
      <c r="I614" s="99"/>
      <c r="J614" s="99"/>
      <c r="P614" s="85"/>
      <c r="Q614" s="100"/>
    </row>
    <row r="615" spans="2:17" ht="14.4">
      <c r="B615" s="95"/>
      <c r="F615" s="99"/>
      <c r="G615" s="99"/>
      <c r="H615" s="99"/>
      <c r="I615" s="99"/>
      <c r="J615" s="99"/>
      <c r="P615" s="85"/>
      <c r="Q615" s="100"/>
    </row>
    <row r="616" spans="2:17" ht="14.4">
      <c r="B616" s="95"/>
      <c r="F616" s="99"/>
      <c r="G616" s="99"/>
      <c r="H616" s="99"/>
      <c r="I616" s="99"/>
      <c r="J616" s="99"/>
      <c r="P616" s="85"/>
      <c r="Q616" s="100"/>
    </row>
    <row r="617" spans="2:17" ht="14.4">
      <c r="B617" s="95"/>
      <c r="F617" s="99"/>
      <c r="G617" s="99"/>
      <c r="H617" s="99"/>
      <c r="I617" s="99"/>
      <c r="J617" s="99"/>
      <c r="P617" s="85"/>
      <c r="Q617" s="100"/>
    </row>
    <row r="618" spans="2:17" ht="14.4">
      <c r="B618" s="95"/>
      <c r="F618" s="99"/>
      <c r="G618" s="99"/>
      <c r="H618" s="99"/>
      <c r="I618" s="99"/>
      <c r="J618" s="99"/>
      <c r="P618" s="85"/>
      <c r="Q618" s="100"/>
    </row>
    <row r="619" spans="2:17" ht="14.4">
      <c r="B619" s="95"/>
      <c r="F619" s="99"/>
      <c r="G619" s="99"/>
      <c r="H619" s="99"/>
      <c r="I619" s="99"/>
      <c r="J619" s="99"/>
      <c r="P619" s="85"/>
      <c r="Q619" s="100"/>
    </row>
    <row r="620" spans="2:17" ht="14.4">
      <c r="B620" s="95"/>
      <c r="F620" s="99"/>
      <c r="G620" s="99"/>
      <c r="H620" s="99"/>
      <c r="I620" s="99"/>
      <c r="J620" s="99"/>
      <c r="P620" s="85"/>
      <c r="Q620" s="100"/>
    </row>
    <row r="621" spans="2:17" ht="14.4">
      <c r="B621" s="95"/>
      <c r="F621" s="99"/>
      <c r="G621" s="99"/>
      <c r="H621" s="99"/>
      <c r="I621" s="99"/>
      <c r="J621" s="99"/>
      <c r="P621" s="85"/>
      <c r="Q621" s="100"/>
    </row>
    <row r="622" spans="2:17" ht="14.4">
      <c r="B622" s="95"/>
      <c r="F622" s="99"/>
      <c r="G622" s="99"/>
      <c r="H622" s="99"/>
      <c r="I622" s="99"/>
      <c r="J622" s="99"/>
      <c r="P622" s="85"/>
      <c r="Q622" s="100"/>
    </row>
    <row r="623" spans="2:17" ht="14.4">
      <c r="B623" s="95"/>
      <c r="F623" s="99"/>
      <c r="G623" s="99"/>
      <c r="H623" s="99"/>
      <c r="I623" s="99"/>
      <c r="J623" s="99"/>
      <c r="P623" s="85"/>
      <c r="Q623" s="100"/>
    </row>
    <row r="624" spans="2:17" ht="14.4">
      <c r="B624" s="95"/>
      <c r="F624" s="99"/>
      <c r="G624" s="99"/>
      <c r="H624" s="99"/>
      <c r="I624" s="99"/>
      <c r="J624" s="99"/>
      <c r="P624" s="85"/>
      <c r="Q624" s="100"/>
    </row>
    <row r="625" spans="2:17" ht="14.4">
      <c r="B625" s="95"/>
      <c r="F625" s="99"/>
      <c r="G625" s="99"/>
      <c r="H625" s="99"/>
      <c r="I625" s="99"/>
      <c r="J625" s="99"/>
      <c r="P625" s="85"/>
      <c r="Q625" s="100"/>
    </row>
    <row r="626" spans="2:17" ht="14.4">
      <c r="B626" s="95"/>
      <c r="F626" s="99"/>
      <c r="G626" s="99"/>
      <c r="H626" s="99"/>
      <c r="I626" s="99"/>
      <c r="J626" s="99"/>
      <c r="P626" s="85"/>
      <c r="Q626" s="100"/>
    </row>
    <row r="627" spans="2:17" ht="14.4">
      <c r="B627" s="95"/>
      <c r="F627" s="99"/>
      <c r="G627" s="99"/>
      <c r="H627" s="99"/>
      <c r="I627" s="99"/>
      <c r="J627" s="99"/>
      <c r="P627" s="85"/>
      <c r="Q627" s="100"/>
    </row>
    <row r="628" spans="2:17" ht="14.4">
      <c r="B628" s="95"/>
      <c r="F628" s="99"/>
      <c r="G628" s="99"/>
      <c r="H628" s="99"/>
      <c r="I628" s="99"/>
      <c r="J628" s="99"/>
      <c r="P628" s="85"/>
      <c r="Q628" s="100"/>
    </row>
    <row r="629" spans="2:17" ht="14.4">
      <c r="B629" s="95"/>
      <c r="F629" s="99"/>
      <c r="G629" s="99"/>
      <c r="H629" s="99"/>
      <c r="I629" s="99"/>
      <c r="J629" s="99"/>
      <c r="P629" s="85"/>
      <c r="Q629" s="100"/>
    </row>
    <row r="630" spans="2:17" ht="14.4">
      <c r="B630" s="95"/>
      <c r="F630" s="99"/>
      <c r="G630" s="99"/>
      <c r="H630" s="99"/>
      <c r="I630" s="99"/>
      <c r="J630" s="99"/>
      <c r="P630" s="85"/>
      <c r="Q630" s="100"/>
    </row>
    <row r="631" spans="2:17" ht="14.4">
      <c r="B631" s="95"/>
      <c r="F631" s="99"/>
      <c r="G631" s="99"/>
      <c r="H631" s="99"/>
      <c r="I631" s="99"/>
      <c r="J631" s="99"/>
      <c r="P631" s="85"/>
      <c r="Q631" s="100"/>
    </row>
    <row r="632" spans="2:17" ht="14.4">
      <c r="B632" s="95"/>
      <c r="F632" s="99"/>
      <c r="G632" s="99"/>
      <c r="H632" s="99"/>
      <c r="I632" s="99"/>
      <c r="J632" s="99"/>
      <c r="P632" s="85"/>
      <c r="Q632" s="100"/>
    </row>
    <row r="633" spans="2:17" ht="14.4">
      <c r="B633" s="95"/>
      <c r="F633" s="99"/>
      <c r="G633" s="99"/>
      <c r="H633" s="99"/>
      <c r="I633" s="99"/>
      <c r="J633" s="99"/>
      <c r="P633" s="85"/>
      <c r="Q633" s="100"/>
    </row>
    <row r="634" spans="2:17" ht="14.4">
      <c r="B634" s="95"/>
      <c r="F634" s="99"/>
      <c r="G634" s="99"/>
      <c r="H634" s="99"/>
      <c r="I634" s="99"/>
      <c r="J634" s="99"/>
      <c r="P634" s="85"/>
      <c r="Q634" s="100"/>
    </row>
    <row r="635" spans="2:17" ht="14.4">
      <c r="B635" s="95"/>
      <c r="F635" s="99"/>
      <c r="G635" s="99"/>
      <c r="H635" s="99"/>
      <c r="I635" s="99"/>
      <c r="J635" s="99"/>
      <c r="P635" s="85"/>
      <c r="Q635" s="100"/>
    </row>
    <row r="636" spans="2:17" ht="14.4">
      <c r="B636" s="95"/>
      <c r="F636" s="99"/>
      <c r="G636" s="99"/>
      <c r="H636" s="99"/>
      <c r="I636" s="99"/>
      <c r="J636" s="99"/>
      <c r="P636" s="85"/>
      <c r="Q636" s="100"/>
    </row>
    <row r="637" spans="2:17" ht="14.4">
      <c r="B637" s="95"/>
      <c r="F637" s="99"/>
      <c r="G637" s="99"/>
      <c r="H637" s="99"/>
      <c r="I637" s="99"/>
      <c r="J637" s="99"/>
      <c r="P637" s="85"/>
      <c r="Q637" s="100"/>
    </row>
    <row r="638" spans="2:17" ht="14.4">
      <c r="B638" s="95"/>
      <c r="F638" s="99"/>
      <c r="G638" s="99"/>
      <c r="H638" s="99"/>
      <c r="I638" s="99"/>
      <c r="J638" s="99"/>
      <c r="P638" s="85"/>
      <c r="Q638" s="100"/>
    </row>
    <row r="639" spans="2:17" ht="14.4">
      <c r="B639" s="95"/>
      <c r="F639" s="99"/>
      <c r="G639" s="99"/>
      <c r="H639" s="99"/>
      <c r="I639" s="99"/>
      <c r="J639" s="99"/>
      <c r="P639" s="85"/>
      <c r="Q639" s="100"/>
    </row>
    <row r="640" spans="2:17" ht="14.4">
      <c r="B640" s="95"/>
      <c r="F640" s="99"/>
      <c r="G640" s="99"/>
      <c r="H640" s="99"/>
      <c r="I640" s="99"/>
      <c r="J640" s="99"/>
      <c r="P640" s="85"/>
      <c r="Q640" s="100"/>
    </row>
    <row r="641" spans="2:17" ht="14.4">
      <c r="B641" s="95"/>
      <c r="F641" s="99"/>
      <c r="G641" s="99"/>
      <c r="H641" s="99"/>
      <c r="I641" s="99"/>
      <c r="J641" s="99"/>
      <c r="P641" s="85"/>
      <c r="Q641" s="100"/>
    </row>
    <row r="642" spans="2:17" ht="14.4">
      <c r="B642" s="95"/>
      <c r="F642" s="99"/>
      <c r="G642" s="99"/>
      <c r="H642" s="99"/>
      <c r="I642" s="99"/>
      <c r="J642" s="99"/>
      <c r="P642" s="85"/>
      <c r="Q642" s="100"/>
    </row>
    <row r="643" spans="2:17" ht="14.4">
      <c r="B643" s="95"/>
      <c r="F643" s="99"/>
      <c r="G643" s="99"/>
      <c r="H643" s="99"/>
      <c r="I643" s="99"/>
      <c r="J643" s="99"/>
      <c r="P643" s="85"/>
      <c r="Q643" s="100"/>
    </row>
    <row r="644" spans="2:17" ht="14.4">
      <c r="B644" s="95"/>
      <c r="F644" s="99"/>
      <c r="G644" s="99"/>
      <c r="H644" s="99"/>
      <c r="I644" s="99"/>
      <c r="J644" s="99"/>
      <c r="P644" s="85"/>
      <c r="Q644" s="100"/>
    </row>
    <row r="645" spans="2:17" ht="14.4">
      <c r="B645" s="95"/>
      <c r="F645" s="99"/>
      <c r="G645" s="99"/>
      <c r="H645" s="99"/>
      <c r="I645" s="99"/>
      <c r="J645" s="99"/>
      <c r="P645" s="85"/>
      <c r="Q645" s="100"/>
    </row>
    <row r="646" spans="2:17" ht="14.4">
      <c r="B646" s="95"/>
      <c r="F646" s="99"/>
      <c r="G646" s="99"/>
      <c r="H646" s="99"/>
      <c r="I646" s="99"/>
      <c r="J646" s="99"/>
      <c r="P646" s="85"/>
      <c r="Q646" s="100"/>
    </row>
    <row r="647" spans="2:17" ht="14.4">
      <c r="B647" s="95"/>
      <c r="F647" s="99"/>
      <c r="G647" s="99"/>
      <c r="H647" s="99"/>
      <c r="I647" s="99"/>
      <c r="J647" s="99"/>
      <c r="P647" s="85"/>
      <c r="Q647" s="100"/>
    </row>
    <row r="648" spans="2:17" ht="14.4">
      <c r="B648" s="95"/>
      <c r="F648" s="99"/>
      <c r="G648" s="99"/>
      <c r="H648" s="99"/>
      <c r="I648" s="99"/>
      <c r="J648" s="99"/>
      <c r="P648" s="85"/>
      <c r="Q648" s="100"/>
    </row>
    <row r="649" spans="2:17" ht="14.4">
      <c r="B649" s="95"/>
      <c r="F649" s="99"/>
      <c r="G649" s="99"/>
      <c r="H649" s="99"/>
      <c r="I649" s="99"/>
      <c r="J649" s="99"/>
      <c r="P649" s="85"/>
      <c r="Q649" s="100"/>
    </row>
    <row r="650" spans="2:17" ht="14.4">
      <c r="B650" s="95"/>
      <c r="F650" s="99"/>
      <c r="G650" s="99"/>
      <c r="H650" s="99"/>
      <c r="I650" s="99"/>
      <c r="J650" s="99"/>
      <c r="P650" s="85"/>
      <c r="Q650" s="100"/>
    </row>
    <row r="651" spans="2:17" ht="14.4">
      <c r="B651" s="95"/>
      <c r="F651" s="99"/>
      <c r="G651" s="99"/>
      <c r="H651" s="99"/>
      <c r="I651" s="99"/>
      <c r="J651" s="99"/>
      <c r="P651" s="85"/>
      <c r="Q651" s="100"/>
    </row>
    <row r="652" spans="2:17" ht="14.4">
      <c r="B652" s="95"/>
      <c r="F652" s="99"/>
      <c r="G652" s="99"/>
      <c r="H652" s="99"/>
      <c r="I652" s="99"/>
      <c r="J652" s="99"/>
      <c r="P652" s="85"/>
      <c r="Q652" s="100"/>
    </row>
    <row r="653" spans="2:17" ht="14.4">
      <c r="B653" s="95"/>
      <c r="F653" s="99"/>
      <c r="G653" s="99"/>
      <c r="H653" s="99"/>
      <c r="I653" s="99"/>
      <c r="J653" s="99"/>
      <c r="P653" s="85"/>
      <c r="Q653" s="100"/>
    </row>
    <row r="654" spans="2:17" ht="14.4">
      <c r="B654" s="95"/>
      <c r="F654" s="99"/>
      <c r="G654" s="99"/>
      <c r="H654" s="99"/>
      <c r="I654" s="99"/>
      <c r="J654" s="99"/>
      <c r="P654" s="85"/>
      <c r="Q654" s="100"/>
    </row>
    <row r="655" spans="2:17" ht="14.4">
      <c r="B655" s="95"/>
      <c r="F655" s="99"/>
      <c r="G655" s="99"/>
      <c r="H655" s="99"/>
      <c r="I655" s="99"/>
      <c r="J655" s="99"/>
      <c r="P655" s="85"/>
      <c r="Q655" s="100"/>
    </row>
    <row r="656" spans="2:17" ht="14.4">
      <c r="B656" s="95"/>
      <c r="F656" s="99"/>
      <c r="G656" s="99"/>
      <c r="H656" s="99"/>
      <c r="I656" s="99"/>
      <c r="J656" s="99"/>
      <c r="P656" s="85"/>
      <c r="Q656" s="100"/>
    </row>
    <row r="657" spans="2:17" ht="14.4">
      <c r="B657" s="95"/>
      <c r="F657" s="99"/>
      <c r="G657" s="99"/>
      <c r="H657" s="99"/>
      <c r="I657" s="99"/>
      <c r="J657" s="99"/>
      <c r="P657" s="85"/>
      <c r="Q657" s="100"/>
    </row>
    <row r="658" spans="2:17" ht="14.4">
      <c r="B658" s="95"/>
      <c r="F658" s="99"/>
      <c r="G658" s="99"/>
      <c r="H658" s="99"/>
      <c r="I658" s="99"/>
      <c r="J658" s="99"/>
      <c r="P658" s="85"/>
      <c r="Q658" s="100"/>
    </row>
    <row r="659" spans="2:17" ht="14.4">
      <c r="B659" s="95"/>
      <c r="F659" s="99"/>
      <c r="G659" s="99"/>
      <c r="H659" s="99"/>
      <c r="I659" s="99"/>
      <c r="J659" s="99"/>
      <c r="P659" s="85"/>
      <c r="Q659" s="100"/>
    </row>
    <row r="660" spans="2:17" ht="14.4">
      <c r="B660" s="95"/>
      <c r="F660" s="99"/>
      <c r="G660" s="99"/>
      <c r="H660" s="99"/>
      <c r="I660" s="99"/>
      <c r="J660" s="99"/>
      <c r="P660" s="85"/>
      <c r="Q660" s="100"/>
    </row>
    <row r="661" spans="2:17" ht="14.4">
      <c r="B661" s="95"/>
      <c r="F661" s="99"/>
      <c r="G661" s="99"/>
      <c r="H661" s="99"/>
      <c r="I661" s="99"/>
      <c r="J661" s="99"/>
      <c r="P661" s="85"/>
      <c r="Q661" s="100"/>
    </row>
    <row r="662" spans="2:17" ht="14.4">
      <c r="B662" s="95"/>
      <c r="F662" s="99"/>
      <c r="G662" s="99"/>
      <c r="H662" s="99"/>
      <c r="I662" s="99"/>
      <c r="J662" s="99"/>
      <c r="P662" s="85"/>
      <c r="Q662" s="100"/>
    </row>
    <row r="663" spans="2:17" ht="14.4">
      <c r="B663" s="95"/>
      <c r="F663" s="99"/>
      <c r="G663" s="99"/>
      <c r="H663" s="99"/>
      <c r="I663" s="99"/>
      <c r="J663" s="99"/>
      <c r="P663" s="85"/>
      <c r="Q663" s="100"/>
    </row>
    <row r="664" spans="2:17" ht="14.4">
      <c r="B664" s="95"/>
      <c r="F664" s="99"/>
      <c r="G664" s="99"/>
      <c r="H664" s="99"/>
      <c r="I664" s="99"/>
      <c r="J664" s="99"/>
      <c r="P664" s="85"/>
      <c r="Q664" s="100"/>
    </row>
    <row r="665" spans="2:17" ht="14.4">
      <c r="B665" s="95"/>
      <c r="F665" s="99"/>
      <c r="G665" s="99"/>
      <c r="H665" s="99"/>
      <c r="I665" s="99"/>
      <c r="J665" s="99"/>
      <c r="P665" s="85"/>
      <c r="Q665" s="100"/>
    </row>
  </sheetData>
  <mergeCells count="9">
    <mergeCell ref="D1:E1"/>
    <mergeCell ref="G11:I11"/>
    <mergeCell ref="J11:N11"/>
    <mergeCell ref="A11:A12"/>
    <mergeCell ref="B11:B12"/>
    <mergeCell ref="C11:C12"/>
    <mergeCell ref="D11:D12"/>
    <mergeCell ref="E11:E12"/>
    <mergeCell ref="F11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9" workbookViewId="0">
      <selection activeCell="C18" sqref="C18"/>
    </sheetView>
  </sheetViews>
  <sheetFormatPr defaultColWidth="11" defaultRowHeight="13.8"/>
  <cols>
    <col min="2" max="2" width="40.09765625" customWidth="1"/>
    <col min="7" max="7" width="13.19921875" customWidth="1"/>
    <col min="8" max="8" width="13.296875" customWidth="1"/>
    <col min="10" max="10" width="17.796875" customWidth="1"/>
    <col min="17" max="17" width="19.3984375" customWidth="1"/>
  </cols>
  <sheetData>
    <row r="1" spans="2:24" ht="14.4">
      <c r="J1" s="98"/>
      <c r="K1" s="98"/>
      <c r="L1" s="98"/>
    </row>
    <row r="2" spans="2:24" ht="25.8">
      <c r="B2" s="162"/>
      <c r="C2" s="82"/>
      <c r="D2" s="82"/>
      <c r="E2" s="82"/>
      <c r="F2" s="101"/>
      <c r="G2" s="101"/>
      <c r="J2" s="102"/>
      <c r="K2" s="98"/>
      <c r="L2" s="98"/>
    </row>
    <row r="3" spans="2:24" ht="15" thickBot="1">
      <c r="B3" s="103"/>
      <c r="C3" s="103"/>
      <c r="D3" s="103"/>
      <c r="E3" s="103"/>
      <c r="J3" s="102"/>
      <c r="K3" s="104" t="s">
        <v>143</v>
      </c>
      <c r="L3" s="98"/>
    </row>
    <row r="4" spans="2:24" ht="70.95" customHeight="1" thickBot="1">
      <c r="C4" s="607" t="s">
        <v>36</v>
      </c>
      <c r="D4" s="608"/>
      <c r="E4" s="607" t="s">
        <v>37</v>
      </c>
      <c r="F4" s="608"/>
      <c r="G4" s="609" t="s">
        <v>38</v>
      </c>
      <c r="H4" s="610"/>
      <c r="I4" s="611" t="s">
        <v>39</v>
      </c>
      <c r="J4" s="612"/>
      <c r="K4" s="605" t="s">
        <v>40</v>
      </c>
      <c r="L4" s="606"/>
      <c r="M4" s="605" t="s">
        <v>41</v>
      </c>
      <c r="N4" s="606"/>
      <c r="O4" s="603" t="s">
        <v>42</v>
      </c>
      <c r="P4" s="604"/>
      <c r="R4" s="102"/>
      <c r="S4" s="98"/>
      <c r="T4" s="98"/>
    </row>
    <row r="5" spans="2:24" ht="63" customHeight="1">
      <c r="B5" s="105" t="s">
        <v>43</v>
      </c>
      <c r="C5" s="106"/>
      <c r="D5" s="107"/>
      <c r="E5" s="106"/>
      <c r="F5" s="98"/>
      <c r="G5" s="415"/>
      <c r="H5" s="416"/>
      <c r="I5" s="98"/>
      <c r="J5" s="107"/>
      <c r="K5" s="106"/>
      <c r="L5" s="107"/>
      <c r="M5" s="106"/>
      <c r="N5" s="107"/>
      <c r="O5" s="108"/>
      <c r="P5" s="109"/>
      <c r="R5" s="102"/>
      <c r="S5" s="98"/>
      <c r="T5" s="98"/>
      <c r="U5" s="98"/>
      <c r="V5" s="98"/>
      <c r="W5" s="98"/>
      <c r="X5" s="98"/>
    </row>
    <row r="6" spans="2:24" ht="14.4">
      <c r="B6" s="98" t="s">
        <v>44</v>
      </c>
      <c r="C6" s="110" t="e">
        <f ca="1">SUM($D$31:$D$49)</f>
        <v>#REF!</v>
      </c>
      <c r="D6" s="107"/>
      <c r="E6" s="110" t="e">
        <f ca="1">SUM(D56:D73)</f>
        <v>#REF!</v>
      </c>
      <c r="F6" s="98"/>
      <c r="G6" s="417" t="e">
        <f>COUNTIF(#REF!,"No")</f>
        <v>#REF!</v>
      </c>
      <c r="H6" s="418"/>
      <c r="I6" s="130">
        <f>COUNTIF('One year follow-up_Virtual'!$Q$13:$Q$4905,"Yes")</f>
        <v>0</v>
      </c>
      <c r="J6" s="107"/>
      <c r="K6" s="106" t="e">
        <f>COUNTIF(#REF!,"Yes")</f>
        <v>#REF!</v>
      </c>
      <c r="L6" s="107"/>
      <c r="M6" s="106">
        <f>COUNTIF('One year follow-up_Virtual'!$Q$13:$Q$3895,"No")</f>
        <v>0</v>
      </c>
      <c r="N6" s="107"/>
      <c r="O6" s="110" t="e">
        <f ca="1">C6+E6</f>
        <v>#REF!</v>
      </c>
      <c r="P6" s="107"/>
      <c r="R6" s="102"/>
      <c r="S6" s="98"/>
      <c r="T6" s="98"/>
      <c r="U6" s="98"/>
      <c r="V6" s="98"/>
      <c r="W6" s="98"/>
      <c r="X6" s="98"/>
    </row>
    <row r="7" spans="2:24" ht="14.4">
      <c r="C7" s="111"/>
      <c r="D7" s="107"/>
      <c r="E7" s="106"/>
      <c r="F7" s="98"/>
      <c r="G7" s="417"/>
      <c r="H7" s="418"/>
      <c r="I7" s="98"/>
      <c r="J7" s="107"/>
      <c r="K7" s="106"/>
      <c r="L7" s="107"/>
      <c r="M7" s="106"/>
      <c r="N7" s="107"/>
      <c r="O7" s="106"/>
      <c r="P7" s="107"/>
      <c r="R7" s="102"/>
      <c r="S7" s="98"/>
      <c r="T7" s="98"/>
      <c r="U7" s="98"/>
      <c r="V7" s="98"/>
      <c r="W7" s="98"/>
      <c r="X7" s="98"/>
    </row>
    <row r="8" spans="2:24" ht="14.4">
      <c r="B8" s="98" t="s">
        <v>45</v>
      </c>
      <c r="C8" s="112" t="e">
        <f>COUNTIF(#REF!,"Yes")</f>
        <v>#REF!</v>
      </c>
      <c r="D8" s="113" t="e">
        <f ca="1">C8/C6</f>
        <v>#REF!</v>
      </c>
      <c r="E8" s="106" t="e">
        <f>COUNTIF('One year follow-up_Virtual'!#REF!,"Yes")</f>
        <v>#REF!</v>
      </c>
      <c r="F8" s="121" t="e">
        <f ca="1">E8/E6</f>
        <v>#REF!</v>
      </c>
      <c r="G8" s="417" t="e">
        <f>COUNTIFS(#REF!, "Yes",#REF!,"No")</f>
        <v>#REF!</v>
      </c>
      <c r="H8" s="419" t="e">
        <f>G8/G6</f>
        <v>#REF!</v>
      </c>
      <c r="I8" s="130" t="e">
        <f>COUNTIFS('One year follow-up_Virtual'!#REF!, "Yes",'One year follow-up_Virtual'!#REF!,"Yes")</f>
        <v>#REF!</v>
      </c>
      <c r="J8" s="114" t="e">
        <f t="shared" ref="J8:J9" si="0">I8/$I$6</f>
        <v>#REF!</v>
      </c>
      <c r="K8" s="110" t="e">
        <f>COUNTIFS(#REF!, "Yes",#REF!,"Yes")</f>
        <v>#REF!</v>
      </c>
      <c r="L8" s="114" t="e">
        <f t="shared" ref="L8:L9" si="1">K8/$K$6</f>
        <v>#REF!</v>
      </c>
      <c r="M8" s="110" t="e">
        <f>COUNTIFS('One year follow-up_Virtual'!#REF!,"Yes",'One year follow-up_Virtual'!#REF!,"No")</f>
        <v>#REF!</v>
      </c>
      <c r="N8" s="114" t="e">
        <f>M8/M6</f>
        <v>#REF!</v>
      </c>
      <c r="O8" s="110" t="e">
        <f t="shared" ref="O8:O9" si="2">SUM(E8,G8)</f>
        <v>#REF!</v>
      </c>
      <c r="P8" s="347" t="e">
        <f ca="1">O8/$O$6</f>
        <v>#REF!</v>
      </c>
      <c r="R8" s="102"/>
      <c r="S8" s="98"/>
      <c r="T8" s="98"/>
      <c r="U8" s="98"/>
      <c r="V8" s="98"/>
      <c r="W8" s="98"/>
      <c r="X8" s="98"/>
    </row>
    <row r="9" spans="2:24" ht="14.4">
      <c r="B9" s="98" t="s">
        <v>46</v>
      </c>
      <c r="C9" s="115" t="e">
        <f>COUNTIF(#REF!,"No")</f>
        <v>#REF!</v>
      </c>
      <c r="D9" s="116" t="e">
        <f ca="1">C9/C6</f>
        <v>#REF!</v>
      </c>
      <c r="E9" s="117" t="e">
        <f>COUNTIF('One year follow-up_Virtual'!#REF!,"No")</f>
        <v>#REF!</v>
      </c>
      <c r="F9" s="135" t="e">
        <f ca="1">E9/E6</f>
        <v>#REF!</v>
      </c>
      <c r="G9" s="420" t="e">
        <f>COUNTIFS(#REF!, "No",#REF!,"No")</f>
        <v>#REF!</v>
      </c>
      <c r="H9" s="421" t="e">
        <f>G9/G6</f>
        <v>#REF!</v>
      </c>
      <c r="I9" s="134" t="e">
        <f>COUNTIFS('One year follow-up_Virtual'!#REF!, "No",'One year follow-up_Virtual'!#REF!,"Yes")</f>
        <v>#REF!</v>
      </c>
      <c r="J9" s="118" t="e">
        <f t="shared" si="0"/>
        <v>#REF!</v>
      </c>
      <c r="K9" s="119" t="e">
        <f>COUNTIFS(#REF!, "No",#REF!,"Yes")</f>
        <v>#REF!</v>
      </c>
      <c r="L9" s="118" t="e">
        <f t="shared" si="1"/>
        <v>#REF!</v>
      </c>
      <c r="M9" s="119" t="e">
        <f>COUNTIFS('One year follow-up_Virtual'!#REF!, "No",'One year follow-up_Virtual'!#REF!,"No")</f>
        <v>#REF!</v>
      </c>
      <c r="N9" s="118" t="e">
        <f>M9/M6</f>
        <v>#REF!</v>
      </c>
      <c r="O9" s="119" t="e">
        <f t="shared" si="2"/>
        <v>#REF!</v>
      </c>
      <c r="P9" s="118" t="e">
        <f t="shared" ref="P9" ca="1" si="3">O9/$O$6</f>
        <v>#REF!</v>
      </c>
      <c r="R9" s="102"/>
      <c r="S9" s="98"/>
      <c r="T9" s="98"/>
      <c r="U9" s="98"/>
      <c r="V9" s="98"/>
      <c r="W9" s="98"/>
      <c r="X9" s="98"/>
    </row>
    <row r="10" spans="2:24" ht="14.4">
      <c r="D10" s="120"/>
      <c r="F10" s="121"/>
      <c r="R10" s="102"/>
      <c r="S10" s="98"/>
      <c r="T10" s="98"/>
      <c r="U10" s="98"/>
      <c r="V10" s="98"/>
      <c r="W10" s="98"/>
      <c r="X10" s="98"/>
    </row>
    <row r="11" spans="2:24" ht="14.4">
      <c r="D11" s="120"/>
      <c r="F11" s="121"/>
      <c r="R11" s="102"/>
      <c r="S11" s="98"/>
      <c r="T11" s="98"/>
      <c r="U11" s="98"/>
      <c r="V11" s="98"/>
      <c r="W11" s="98"/>
      <c r="X11" s="98"/>
    </row>
    <row r="12" spans="2:24" ht="34.950000000000003" customHeight="1">
      <c r="B12" s="105" t="s">
        <v>47</v>
      </c>
      <c r="C12" s="108"/>
      <c r="D12" s="122"/>
      <c r="E12" s="108"/>
      <c r="F12" s="123"/>
      <c r="G12" s="108"/>
      <c r="H12" s="109"/>
      <c r="I12" s="108"/>
      <c r="J12" s="109"/>
      <c r="K12" s="124"/>
      <c r="L12" s="125"/>
      <c r="M12" s="125"/>
      <c r="N12" s="125"/>
      <c r="O12" s="108"/>
      <c r="P12" s="109"/>
      <c r="R12" s="126"/>
      <c r="S12" s="98"/>
      <c r="T12" s="98"/>
      <c r="U12" s="163"/>
      <c r="V12" s="82"/>
      <c r="W12" s="98"/>
      <c r="X12" s="98"/>
    </row>
    <row r="13" spans="2:24" ht="14.4">
      <c r="B13" s="98" t="s">
        <v>48</v>
      </c>
      <c r="C13" s="127" t="e">
        <f>COUNTIF(#REF!, 1)</f>
        <v>#REF!</v>
      </c>
      <c r="D13" s="128" t="e">
        <f ca="1">C13/E50</f>
        <v>#REF!</v>
      </c>
      <c r="E13" s="127" t="e">
        <f>COUNTIF('One year follow-up_Virtual'!#REF!, 1)</f>
        <v>#REF!</v>
      </c>
      <c r="F13" s="128" t="e">
        <f ca="1">E13/E74</f>
        <v>#REF!</v>
      </c>
      <c r="G13" s="129" t="e">
        <f>COUNTIFS(#REF!, 1,#REF!,"No")</f>
        <v>#REF!</v>
      </c>
      <c r="H13" s="114" t="e">
        <f ca="1">G13/M50</f>
        <v>#REF!</v>
      </c>
      <c r="I13" s="110" t="e">
        <f>COUNTIFS('One year follow-up_Virtual'!#REF!, 1,'One year follow-up_Virtual'!#REF!,"Yes")</f>
        <v>#REF!</v>
      </c>
      <c r="J13" s="114" t="e">
        <f>I13/M74</f>
        <v>#REF!</v>
      </c>
      <c r="K13" s="130" t="e">
        <f>COUNTIFS(#REF!, 1,#REF!,"Yes")</f>
        <v>#REF!</v>
      </c>
      <c r="L13" s="121" t="e">
        <f ca="1">K13/T50</f>
        <v>#REF!</v>
      </c>
      <c r="M13" s="130" t="e">
        <f>COUNTIFS('One year follow-up_Virtual'!#REF!, 1,'One year follow-up_Virtual'!#REF!,"No")</f>
        <v>#REF!</v>
      </c>
      <c r="N13" s="121" t="e">
        <f>M13/T74</f>
        <v>#REF!</v>
      </c>
      <c r="O13" s="110" t="e">
        <f>SUM(E13,G13)</f>
        <v>#REF!</v>
      </c>
      <c r="P13" s="114" t="e">
        <f ca="1">O13/(SUM($E$74,$M$50))</f>
        <v>#REF!</v>
      </c>
      <c r="R13" s="102"/>
      <c r="S13" s="121"/>
      <c r="T13" s="131"/>
      <c r="U13" s="130"/>
      <c r="V13" s="121"/>
      <c r="W13" s="121"/>
      <c r="X13" s="98"/>
    </row>
    <row r="14" spans="2:24" ht="14.4">
      <c r="B14" s="98" t="s">
        <v>49</v>
      </c>
      <c r="C14" s="127" t="e">
        <f>COUNTIF(#REF!, 1)</f>
        <v>#REF!</v>
      </c>
      <c r="D14" s="113" t="e">
        <f ca="1">C14/C6</f>
        <v>#REF!</v>
      </c>
      <c r="E14" s="127" t="e">
        <f>COUNTIF('One year follow-up_Virtual'!#REF!, "1")</f>
        <v>#REF!</v>
      </c>
      <c r="F14" s="113" t="e">
        <f ca="1">E14/E6</f>
        <v>#REF!</v>
      </c>
      <c r="G14" s="129" t="e">
        <f>COUNTIFS(#REF!, 1,#REF!,"No")</f>
        <v>#REF!</v>
      </c>
      <c r="H14" s="114" t="e">
        <f>G14/G6</f>
        <v>#REF!</v>
      </c>
      <c r="I14" s="110" t="e">
        <f>COUNTIFS('One year follow-up_Virtual'!#REF!, 1,'One year follow-up_Virtual'!#REF!,"Yes")</f>
        <v>#REF!</v>
      </c>
      <c r="J14" s="114" t="e">
        <f>I14/I6</f>
        <v>#REF!</v>
      </c>
      <c r="K14" s="130" t="e">
        <f>COUNTIFS(#REF!, 1,#REF!,"Yes")</f>
        <v>#REF!</v>
      </c>
      <c r="L14" s="121" t="e">
        <f>K14/K6</f>
        <v>#REF!</v>
      </c>
      <c r="M14" s="130" t="e">
        <f>COUNTIFS('One year follow-up_Virtual'!#REF!, 1,'One year follow-up_Virtual'!#REF!,"No")</f>
        <v>#REF!</v>
      </c>
      <c r="N14" s="121" t="e">
        <f>M14/V74</f>
        <v>#REF!</v>
      </c>
      <c r="O14" s="110" t="e">
        <f>SUM(E14,G14)</f>
        <v>#REF!</v>
      </c>
      <c r="P14" s="114" t="e">
        <f ca="1">O14/SUM(G74,O50)</f>
        <v>#REF!</v>
      </c>
      <c r="R14" s="102"/>
      <c r="S14" s="121"/>
      <c r="T14" s="121"/>
      <c r="U14" s="130"/>
      <c r="V14" s="121"/>
      <c r="W14" s="121"/>
      <c r="X14" s="98"/>
    </row>
    <row r="15" spans="2:24" ht="14.4">
      <c r="B15" s="98" t="s">
        <v>50</v>
      </c>
      <c r="C15" s="127" t="e">
        <f>COUNTIF(#REF!, 1)</f>
        <v>#REF!</v>
      </c>
      <c r="D15" s="128" t="e">
        <f ca="1">C15/F50</f>
        <v>#REF!</v>
      </c>
      <c r="E15" s="127" t="e">
        <f>COUNTIF('One year follow-up_Virtual'!#REF!, "1")</f>
        <v>#REF!</v>
      </c>
      <c r="F15" s="128" t="e">
        <f>E15/F74</f>
        <v>#REF!</v>
      </c>
      <c r="G15" s="129" t="e">
        <f>COUNTIFS(#REF!, 1,#REF!,"No")</f>
        <v>#REF!</v>
      </c>
      <c r="H15" s="114" t="e">
        <f ca="1">G15/N50</f>
        <v>#REF!</v>
      </c>
      <c r="I15" s="110" t="e">
        <f>COUNTIFS('One year follow-up_Virtual'!#REF!, 1,'One year follow-up_Virtual'!#REF!,"Yes")</f>
        <v>#REF!</v>
      </c>
      <c r="J15" s="114" t="e">
        <f>I15/N74</f>
        <v>#REF!</v>
      </c>
      <c r="K15" s="130" t="e">
        <f>COUNTIFS(#REF!, 1,#REF!,"Yes")</f>
        <v>#REF!</v>
      </c>
      <c r="L15" s="121" t="e">
        <f ca="1">K15/U50</f>
        <v>#REF!</v>
      </c>
      <c r="M15" s="130" t="e">
        <f>COUNTIFS('One year follow-up_Virtual'!#REF!, 1,'One year follow-up_Virtual'!#REF!,"No")</f>
        <v>#REF!</v>
      </c>
      <c r="N15" s="121" t="e">
        <f>M15/U74</f>
        <v>#REF!</v>
      </c>
      <c r="O15" s="110" t="e">
        <f t="shared" ref="O15" si="4">SUM(E15,G15)</f>
        <v>#REF!</v>
      </c>
      <c r="P15" s="114" t="e">
        <f ca="1">O15/SUM(F74,N50)</f>
        <v>#REF!</v>
      </c>
      <c r="R15" s="102"/>
      <c r="S15" s="121"/>
      <c r="T15" s="121"/>
      <c r="U15" s="130"/>
      <c r="V15" s="121"/>
      <c r="W15" s="121"/>
      <c r="X15" s="98"/>
    </row>
    <row r="16" spans="2:24" ht="14.4">
      <c r="B16" s="98" t="s">
        <v>83</v>
      </c>
      <c r="C16" s="127" t="e">
        <f>COUNTIF(#REF!, 1)</f>
        <v>#REF!</v>
      </c>
      <c r="D16" s="113" t="e">
        <f ca="1">C16/C6</f>
        <v>#REF!</v>
      </c>
      <c r="E16" s="127" t="e">
        <f>COUNTIF('One year follow-up_Virtual'!#REF!, "1")</f>
        <v>#REF!</v>
      </c>
      <c r="F16" s="113" t="e">
        <f ca="1">E16/E6</f>
        <v>#REF!</v>
      </c>
      <c r="G16" s="129" t="e">
        <f>COUNTIFS(#REF!, 1,#REF!,"No")</f>
        <v>#REF!</v>
      </c>
      <c r="H16" s="114" t="e">
        <f>G16/G6</f>
        <v>#REF!</v>
      </c>
      <c r="I16" s="110" t="e">
        <f>COUNTIFS('One year follow-up_Virtual'!#REF!, 1,'One year follow-up_Virtual'!#REF!,"Yes")</f>
        <v>#REF!</v>
      </c>
      <c r="J16" s="114" t="e">
        <f>I16/I6</f>
        <v>#REF!</v>
      </c>
      <c r="K16" s="130" t="e">
        <f>COUNTIFS(#REF!, 1,#REF!,"Yes")</f>
        <v>#REF!</v>
      </c>
      <c r="L16" s="121" t="e">
        <f>K16/K6</f>
        <v>#REF!</v>
      </c>
      <c r="M16" s="130" t="e">
        <f>COUNTIFS('One year follow-up_Virtual'!#REF!, 1,'One year follow-up_Virtual'!#REF!,"No")</f>
        <v>#REF!</v>
      </c>
      <c r="N16" s="121" t="e">
        <f>M16/M6</f>
        <v>#REF!</v>
      </c>
      <c r="O16" s="110" t="e">
        <f>SUM(E16,G16)</f>
        <v>#REF!</v>
      </c>
      <c r="P16" s="114" t="e">
        <f ca="1">O16/O6</f>
        <v>#REF!</v>
      </c>
      <c r="Q16" s="121"/>
      <c r="R16" s="102"/>
      <c r="S16" s="121"/>
      <c r="T16" s="121"/>
      <c r="U16" s="130"/>
      <c r="V16" s="121"/>
      <c r="W16" s="98"/>
      <c r="X16" s="98"/>
    </row>
    <row r="17" spans="1:26" ht="14.4">
      <c r="B17" s="98" t="s">
        <v>84</v>
      </c>
      <c r="C17" s="127" t="e">
        <f>COUNTIF(#REF!, 1)</f>
        <v>#REF!</v>
      </c>
      <c r="D17" s="113" t="e">
        <f ca="1">C17/C6</f>
        <v>#REF!</v>
      </c>
      <c r="E17" s="127" t="e">
        <f>COUNTIF('One year follow-up_Virtual'!#REF!, "1")</f>
        <v>#REF!</v>
      </c>
      <c r="F17" s="113" t="e">
        <f ca="1">E17/E6</f>
        <v>#REF!</v>
      </c>
      <c r="G17" s="129" t="e">
        <f>COUNTIFS(#REF!, 1,#REF!,"No")</f>
        <v>#REF!</v>
      </c>
      <c r="H17" s="114" t="e">
        <f>G17/G6</f>
        <v>#REF!</v>
      </c>
      <c r="I17" s="110" t="e">
        <f>COUNTIFS('One year follow-up_Virtual'!#REF!, 1,'One year follow-up_Virtual'!#REF!,"Yes")</f>
        <v>#REF!</v>
      </c>
      <c r="J17" s="114" t="e">
        <f>I17/I6</f>
        <v>#REF!</v>
      </c>
      <c r="K17" s="130" t="e">
        <f>COUNTIFS(#REF!, 1,#REF!,"Yes")</f>
        <v>#REF!</v>
      </c>
      <c r="L17" s="121" t="e">
        <f>K17/K6</f>
        <v>#REF!</v>
      </c>
      <c r="M17" s="130" t="e">
        <f>COUNTIFS('One year follow-up_Virtual'!#REF!, 1,'One year follow-up_Virtual'!#REF!,"No")</f>
        <v>#REF!</v>
      </c>
      <c r="N17" s="121" t="e">
        <f>M17/M6</f>
        <v>#REF!</v>
      </c>
      <c r="O17" s="110" t="e">
        <f>SUM(E17,G17)</f>
        <v>#REF!</v>
      </c>
      <c r="P17" s="114" t="e">
        <f ca="1">O17/O6</f>
        <v>#REF!</v>
      </c>
      <c r="Q17" s="121"/>
      <c r="R17" s="102"/>
      <c r="S17" s="121"/>
      <c r="T17" s="121"/>
      <c r="U17" s="130"/>
      <c r="V17" s="121"/>
      <c r="W17" s="98"/>
      <c r="X17" s="98"/>
    </row>
    <row r="18" spans="1:26" ht="14.4">
      <c r="B18" s="98" t="s">
        <v>51</v>
      </c>
      <c r="C18" s="132" t="e">
        <f>COUNTIF(#REF!, 1)</f>
        <v>#REF!</v>
      </c>
      <c r="D18" s="116" t="e">
        <f ca="1">C18/C6</f>
        <v>#REF!</v>
      </c>
      <c r="E18" s="132" t="e">
        <f>COUNTIF('One year follow-up_Virtual'!#REF!, "1")</f>
        <v>#REF!</v>
      </c>
      <c r="F18" s="116" t="e">
        <f ca="1">E18/E6</f>
        <v>#REF!</v>
      </c>
      <c r="G18" s="133" t="e">
        <f>COUNTIFS(#REF!, 1,#REF!,"No")</f>
        <v>#REF!</v>
      </c>
      <c r="H18" s="118" t="e">
        <f>G18/G6</f>
        <v>#REF!</v>
      </c>
      <c r="I18" s="119" t="e">
        <f>COUNTIFS('One year follow-up_Virtual'!#REF!, 1,'One year follow-up_Virtual'!#REF!,"Yes")</f>
        <v>#REF!</v>
      </c>
      <c r="J18" s="118" t="e">
        <f>I18/I6</f>
        <v>#REF!</v>
      </c>
      <c r="K18" s="134" t="e">
        <f>COUNTIFS(#REF!, 1,#REF!,"Yes")</f>
        <v>#REF!</v>
      </c>
      <c r="L18" s="135" t="e">
        <f>K18/K6</f>
        <v>#REF!</v>
      </c>
      <c r="M18" s="134" t="e">
        <f>COUNTIFS('One year follow-up_Virtual'!#REF!, 1,'One year follow-up_Virtual'!#REF!,"No")</f>
        <v>#REF!</v>
      </c>
      <c r="N18" s="135" t="e">
        <f>M18/M6</f>
        <v>#REF!</v>
      </c>
      <c r="O18" s="119" t="e">
        <f>SUM(E18,G18)</f>
        <v>#REF!</v>
      </c>
      <c r="P18" s="346" t="e">
        <f ca="1">O18/O6</f>
        <v>#REF!</v>
      </c>
      <c r="R18" s="102"/>
      <c r="S18" s="121"/>
      <c r="T18" s="121"/>
      <c r="U18" s="130"/>
      <c r="V18" s="121"/>
      <c r="W18" s="98"/>
      <c r="X18" s="98"/>
    </row>
    <row r="19" spans="1:26" ht="14.4">
      <c r="J19" s="98"/>
      <c r="K19" s="98"/>
      <c r="L19" s="98"/>
      <c r="R19" s="98"/>
      <c r="S19" s="98"/>
      <c r="T19" s="98"/>
      <c r="U19" s="98"/>
      <c r="V19" s="98"/>
      <c r="W19" s="98"/>
      <c r="X19" s="98"/>
    </row>
    <row r="20" spans="1:26" ht="14.4">
      <c r="J20" s="98"/>
      <c r="K20" s="98"/>
      <c r="L20" s="98"/>
      <c r="R20" s="98"/>
      <c r="S20" s="98"/>
      <c r="T20" s="98"/>
      <c r="U20" s="98"/>
      <c r="V20" s="98"/>
      <c r="W20" s="98"/>
      <c r="X20" s="98"/>
    </row>
    <row r="21" spans="1:26" ht="14.4">
      <c r="G21" s="82"/>
      <c r="H21" s="136"/>
      <c r="I21" s="82"/>
      <c r="J21" s="137"/>
      <c r="K21" s="98"/>
      <c r="L21" s="98"/>
      <c r="R21" s="98"/>
      <c r="S21" s="98"/>
      <c r="T21" s="98"/>
      <c r="U21" s="98"/>
      <c r="V21" s="98"/>
      <c r="W21" s="98"/>
      <c r="X21" s="98"/>
    </row>
    <row r="22" spans="1:26" ht="14.4">
      <c r="G22" s="82"/>
      <c r="H22" s="136"/>
      <c r="I22" s="82"/>
      <c r="J22" s="137"/>
      <c r="K22" s="130"/>
      <c r="L22" s="98"/>
    </row>
    <row r="23" spans="1:26" ht="14.4">
      <c r="G23" s="82"/>
      <c r="H23" s="136"/>
      <c r="I23" s="82"/>
      <c r="J23" s="137"/>
      <c r="K23" s="98"/>
      <c r="L23" s="98"/>
    </row>
    <row r="24" spans="1:26" ht="14.4">
      <c r="C24" s="82"/>
      <c r="D24" s="136"/>
      <c r="E24" s="82"/>
      <c r="F24" s="136"/>
      <c r="J24" s="98"/>
      <c r="K24" s="98"/>
      <c r="L24" s="98"/>
    </row>
    <row r="25" spans="1:26" ht="14.4">
      <c r="C25" s="82"/>
      <c r="D25" s="136"/>
      <c r="E25" s="82"/>
      <c r="F25" s="136"/>
      <c r="J25" s="98"/>
      <c r="K25" s="98"/>
      <c r="L25" s="98"/>
    </row>
    <row r="26" spans="1:26" ht="14.4">
      <c r="A26" s="98"/>
      <c r="B26" s="98"/>
      <c r="C26" s="130"/>
      <c r="D26" s="130"/>
      <c r="E26" s="130"/>
      <c r="F26" s="130"/>
      <c r="G26" s="130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4.4">
      <c r="A27" s="98"/>
      <c r="B27" s="98"/>
      <c r="C27" s="130"/>
      <c r="D27" s="130"/>
      <c r="E27" s="130"/>
      <c r="F27" s="130"/>
      <c r="G27" s="130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5" thickBot="1">
      <c r="A28" s="98"/>
      <c r="B28" s="138" t="s">
        <v>52</v>
      </c>
      <c r="C28" s="130"/>
      <c r="D28" s="130"/>
      <c r="E28" s="130"/>
      <c r="F28" s="130"/>
      <c r="G28" s="130"/>
      <c r="H28" s="98"/>
      <c r="I28" s="98"/>
      <c r="J28" s="98"/>
      <c r="K28" s="121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4.4">
      <c r="A29" s="161" t="s">
        <v>53</v>
      </c>
      <c r="B29" s="212" t="s">
        <v>54</v>
      </c>
      <c r="C29" s="213"/>
      <c r="D29" s="213"/>
      <c r="E29" s="213"/>
      <c r="F29" s="213"/>
      <c r="G29" s="213"/>
      <c r="H29" s="214"/>
      <c r="I29" s="214"/>
      <c r="J29" s="212" t="s">
        <v>55</v>
      </c>
      <c r="K29" s="215"/>
      <c r="L29" s="214"/>
      <c r="M29" s="214"/>
      <c r="N29" s="214"/>
      <c r="O29" s="216"/>
      <c r="P29" s="98"/>
      <c r="Q29" s="290" t="s">
        <v>56</v>
      </c>
      <c r="R29" s="291"/>
      <c r="S29" s="291"/>
      <c r="T29" s="291"/>
      <c r="U29" s="291"/>
      <c r="V29" s="292"/>
      <c r="W29" s="98"/>
      <c r="X29" s="98"/>
      <c r="Y29" s="98"/>
      <c r="Z29" s="98"/>
    </row>
    <row r="30" spans="1:26" ht="14.4">
      <c r="A30" s="217"/>
      <c r="B30" s="98"/>
      <c r="C30" s="218" t="s">
        <v>57</v>
      </c>
      <c r="D30" s="218" t="s">
        <v>58</v>
      </c>
      <c r="E30" s="219" t="s">
        <v>59</v>
      </c>
      <c r="F30" s="219" t="s">
        <v>60</v>
      </c>
      <c r="G30" s="210" t="s">
        <v>102</v>
      </c>
      <c r="H30" s="304" t="s">
        <v>111</v>
      </c>
      <c r="I30" s="98"/>
      <c r="J30" s="138" t="s">
        <v>61</v>
      </c>
      <c r="K30" s="218" t="s">
        <v>57</v>
      </c>
      <c r="L30" s="218" t="s">
        <v>58</v>
      </c>
      <c r="M30" s="219" t="s">
        <v>59</v>
      </c>
      <c r="N30" s="219" t="s">
        <v>60</v>
      </c>
      <c r="O30" s="220" t="s">
        <v>102</v>
      </c>
      <c r="Q30" s="293"/>
      <c r="R30" s="218" t="s">
        <v>57</v>
      </c>
      <c r="S30" s="218" t="s">
        <v>58</v>
      </c>
      <c r="T30" s="219" t="s">
        <v>59</v>
      </c>
      <c r="U30" s="219" t="s">
        <v>60</v>
      </c>
      <c r="V30" s="220" t="s">
        <v>102</v>
      </c>
    </row>
    <row r="31" spans="1:26" ht="14.4">
      <c r="A31" s="217"/>
      <c r="B31" s="98" t="e">
        <f>#REF!</f>
        <v>#REF!</v>
      </c>
      <c r="C31" s="221" t="str">
        <f ca="1">IFERROR(__xludf.DUMMYFUNCTION("""COMPUTED_VALUE"""),"239")</f>
        <v>239</v>
      </c>
      <c r="D31" s="221" t="e">
        <f ca="1">COUNTIF(#REF!,C31)</f>
        <v>#REF!</v>
      </c>
      <c r="E31" s="222" t="s">
        <v>5</v>
      </c>
      <c r="F31" s="167" t="s">
        <v>5</v>
      </c>
      <c r="G31" s="222" t="s">
        <v>5</v>
      </c>
      <c r="H31" s="304" t="e">
        <f ca="1">D31=#REF!</f>
        <v>#REF!</v>
      </c>
      <c r="I31" s="98"/>
      <c r="J31" s="98" t="e">
        <f>#REF!</f>
        <v>#REF!</v>
      </c>
      <c r="K31" s="84" t="str">
        <f ca="1">IFERROR(__xludf.DUMMYFUNCTION("ARRAY_CONSTRAIN(ARRAYFORMULA(UNIQUE('six months follow-up'!$B10:$B136)), 21, 1)"),"239")</f>
        <v>239</v>
      </c>
      <c r="L31" s="221" t="e">
        <f ca="1">COUNTIFS(#REF!,K31,#REF!,"No")</f>
        <v>#REF!</v>
      </c>
      <c r="M31" s="222" t="s">
        <v>3</v>
      </c>
      <c r="N31" s="167" t="s">
        <v>31</v>
      </c>
      <c r="O31" s="223" t="s">
        <v>3</v>
      </c>
      <c r="Q31" s="294" t="e">
        <f>#REF!</f>
        <v>#REF!</v>
      </c>
      <c r="R31" s="84" t="str">
        <f ca="1">IFERROR(__xludf.DUMMYFUNCTION("ARRAY_CONSTRAIN(ARRAYFORMULA(UNIQUE('six months follow-up'!$B10:$B136)), 21, 1)"),"120")</f>
        <v>120</v>
      </c>
      <c r="S31" s="221" t="e">
        <f ca="1">COUNTIFS(#REF!,R31,#REF!,"Yes")</f>
        <v>#REF!</v>
      </c>
      <c r="T31" s="222" t="s">
        <v>3</v>
      </c>
      <c r="U31" s="167" t="s">
        <v>31</v>
      </c>
      <c r="V31" s="223" t="s">
        <v>3</v>
      </c>
    </row>
    <row r="32" spans="1:26" ht="14.4">
      <c r="A32" s="217"/>
      <c r="B32" s="98" t="e">
        <f>#REF!</f>
        <v>#REF!</v>
      </c>
      <c r="C32" s="221" t="str">
        <f ca="1">IFERROR(__xludf.DUMMYFUNCTION("""COMPUTED_VALUE"""),"188")</f>
        <v>188</v>
      </c>
      <c r="D32" s="221" t="e">
        <f ca="1">COUNTIF(#REF!,C32)</f>
        <v>#REF!</v>
      </c>
      <c r="E32" s="222" t="s">
        <v>3</v>
      </c>
      <c r="F32" s="222" t="s">
        <v>5</v>
      </c>
      <c r="G32" s="224" t="s">
        <v>3</v>
      </c>
      <c r="H32" s="304" t="e">
        <f ca="1">D32=#REF!</f>
        <v>#REF!</v>
      </c>
      <c r="I32" s="98"/>
      <c r="J32" s="98" t="e">
        <f>#REF!</f>
        <v>#REF!</v>
      </c>
      <c r="K32" s="84" t="str">
        <f ca="1">IFERROR(__xludf.DUMMYFUNCTION("""COMPUTED_VALUE"""),"188")</f>
        <v>188</v>
      </c>
      <c r="L32" s="221" t="e">
        <f ca="1">COUNTIFS(#REF!,K32,#REF!,"No")</f>
        <v>#REF!</v>
      </c>
      <c r="M32" s="222" t="s">
        <v>3</v>
      </c>
      <c r="N32" s="222" t="s">
        <v>5</v>
      </c>
      <c r="O32" s="225" t="s">
        <v>3</v>
      </c>
      <c r="Q32" s="294" t="e">
        <f>#REF!</f>
        <v>#REF!</v>
      </c>
      <c r="R32" s="84" t="str">
        <f ca="1">IFERROR(__xludf.DUMMYFUNCTION("""COMPUTED_VALUE"""),"131")</f>
        <v>131</v>
      </c>
      <c r="S32" s="221" t="e">
        <f ca="1">COUNTIFS(#REF!,R32,#REF!,"Yes")</f>
        <v>#REF!</v>
      </c>
      <c r="T32" s="222" t="s">
        <v>3</v>
      </c>
      <c r="U32" s="222" t="s">
        <v>5</v>
      </c>
      <c r="V32" s="225" t="s">
        <v>5</v>
      </c>
    </row>
    <row r="33" spans="1:22" ht="14.4">
      <c r="A33" s="217"/>
      <c r="B33" s="98" t="e">
        <f>#REF!</f>
        <v>#REF!</v>
      </c>
      <c r="C33" s="221" t="str">
        <f ca="1">IFERROR(__xludf.DUMMYFUNCTION("""COMPUTED_VALUE"""),"169")</f>
        <v>169</v>
      </c>
      <c r="D33" s="221" t="e">
        <f ca="1">COUNTIF(#REF!,C33)</f>
        <v>#REF!</v>
      </c>
      <c r="E33" s="222" t="s">
        <v>3</v>
      </c>
      <c r="F33" s="222" t="s">
        <v>3</v>
      </c>
      <c r="G33" s="222" t="s">
        <v>3</v>
      </c>
      <c r="H33" s="304" t="e">
        <f ca="1">D33=#REF!</f>
        <v>#REF!</v>
      </c>
      <c r="I33" s="98"/>
      <c r="J33" s="98" t="e">
        <f>#REF!</f>
        <v>#REF!</v>
      </c>
      <c r="K33" s="84" t="str">
        <f ca="1">IFERROR(__xludf.DUMMYFUNCTION("""COMPUTED_VALUE"""),"169")</f>
        <v>169</v>
      </c>
      <c r="L33" s="221" t="e">
        <f ca="1">COUNTIFS(#REF!,K33,#REF!,"No")</f>
        <v>#REF!</v>
      </c>
      <c r="M33" s="222" t="s">
        <v>3</v>
      </c>
      <c r="N33" s="222" t="s">
        <v>3</v>
      </c>
      <c r="O33" s="223" t="s">
        <v>3</v>
      </c>
      <c r="Q33" s="294" t="e">
        <f>#REF!</f>
        <v>#REF!</v>
      </c>
      <c r="R33" s="84" t="str">
        <f ca="1">IFERROR(__xludf.DUMMYFUNCTION("""COMPUTED_VALUE"""),"134")</f>
        <v>134</v>
      </c>
      <c r="S33" s="221" t="e">
        <f ca="1">COUNTIFS(#REF!,R33,#REF!,"Yes")</f>
        <v>#REF!</v>
      </c>
      <c r="T33" s="222" t="s">
        <v>3</v>
      </c>
      <c r="U33" s="222" t="s">
        <v>3</v>
      </c>
      <c r="V33" s="223" t="s">
        <v>3</v>
      </c>
    </row>
    <row r="34" spans="1:22" ht="14.4">
      <c r="A34" s="217"/>
      <c r="B34" s="98" t="e">
        <f>#REF!</f>
        <v>#REF!</v>
      </c>
      <c r="C34" s="221" t="str">
        <f ca="1">IFERROR(__xludf.DUMMYFUNCTION("""COMPUTED_VALUE"""),"146")</f>
        <v>146</v>
      </c>
      <c r="D34" s="221" t="e">
        <f ca="1">COUNTIF(#REF!,C34)</f>
        <v>#REF!</v>
      </c>
      <c r="E34" s="222" t="s">
        <v>3</v>
      </c>
      <c r="F34" s="222" t="s">
        <v>31</v>
      </c>
      <c r="G34" s="222" t="s">
        <v>3</v>
      </c>
      <c r="H34" s="304" t="e">
        <f ca="1">D34=#REF!</f>
        <v>#REF!</v>
      </c>
      <c r="I34" s="98"/>
      <c r="J34" s="98" t="e">
        <f>#REF!</f>
        <v>#REF!</v>
      </c>
      <c r="K34" s="84" t="str">
        <f ca="1">IFERROR(__xludf.DUMMYFUNCTION("""COMPUTED_VALUE"""),"146")</f>
        <v>146</v>
      </c>
      <c r="L34" s="221" t="e">
        <f ca="1">COUNTIFS(#REF!,K34,#REF!,"No")</f>
        <v>#REF!</v>
      </c>
      <c r="M34" s="222" t="s">
        <v>3</v>
      </c>
      <c r="N34" s="222" t="s">
        <v>31</v>
      </c>
      <c r="O34" s="223" t="s">
        <v>3</v>
      </c>
      <c r="Q34" s="294" t="e">
        <f>#REF!</f>
        <v>#REF!</v>
      </c>
      <c r="R34" s="84" t="str">
        <f ca="1">IFERROR(__xludf.DUMMYFUNCTION("""COMPUTED_VALUE"""),"136")</f>
        <v>136</v>
      </c>
      <c r="S34" s="221" t="e">
        <f ca="1">COUNTIFS(#REF!,R34,#REF!,"Yes")</f>
        <v>#REF!</v>
      </c>
      <c r="T34" s="222" t="s">
        <v>3</v>
      </c>
      <c r="U34" s="222" t="s">
        <v>31</v>
      </c>
      <c r="V34" s="223" t="s">
        <v>3</v>
      </c>
    </row>
    <row r="35" spans="1:22" ht="14.4">
      <c r="A35" s="217"/>
      <c r="B35" s="98" t="e">
        <f>#REF!</f>
        <v>#REF!</v>
      </c>
      <c r="C35" s="221" t="str">
        <f ca="1">IFERROR(__xludf.DUMMYFUNCTION("""COMPUTED_VALUE"""),"144")</f>
        <v>144</v>
      </c>
      <c r="D35" s="221" t="e">
        <f ca="1">COUNTIF(#REF!,C35)</f>
        <v>#REF!</v>
      </c>
      <c r="E35" s="222" t="s">
        <v>3</v>
      </c>
      <c r="F35" s="222" t="s">
        <v>5</v>
      </c>
      <c r="G35" s="222" t="s">
        <v>3</v>
      </c>
      <c r="H35" s="304" t="e">
        <f ca="1">D35=#REF!</f>
        <v>#REF!</v>
      </c>
      <c r="I35" s="98"/>
      <c r="J35" s="98" t="e">
        <f>#REF!</f>
        <v>#REF!</v>
      </c>
      <c r="K35" s="84" t="str">
        <f ca="1">IFERROR(__xludf.DUMMYFUNCTION("""COMPUTED_VALUE"""),"144")</f>
        <v>144</v>
      </c>
      <c r="L35" s="221" t="e">
        <f ca="1">COUNTIFS(#REF!,K35,#REF!,"No")</f>
        <v>#REF!</v>
      </c>
      <c r="M35" s="222" t="s">
        <v>3</v>
      </c>
      <c r="N35" s="222" t="s">
        <v>5</v>
      </c>
      <c r="O35" s="223" t="s">
        <v>3</v>
      </c>
      <c r="Q35" s="294" t="e">
        <f>#REF!</f>
        <v>#REF!</v>
      </c>
      <c r="R35" s="84" t="str">
        <f ca="1">IFERROR(__xludf.DUMMYFUNCTION("""COMPUTED_VALUE"""),"142")</f>
        <v>142</v>
      </c>
      <c r="S35" s="221" t="e">
        <f ca="1">COUNTIFS(#REF!,R35,#REF!,"Yes")</f>
        <v>#REF!</v>
      </c>
      <c r="T35" s="222" t="s">
        <v>3</v>
      </c>
      <c r="U35" s="222" t="s">
        <v>5</v>
      </c>
      <c r="V35" s="223" t="s">
        <v>3</v>
      </c>
    </row>
    <row r="36" spans="1:22" ht="14.4">
      <c r="A36" s="217"/>
      <c r="B36" s="98" t="e">
        <f>#REF!</f>
        <v>#REF!</v>
      </c>
      <c r="C36" s="221" t="str">
        <f ca="1">IFERROR(__xludf.DUMMYFUNCTION("""COMPUTED_VALUE"""),"204")</f>
        <v>204</v>
      </c>
      <c r="D36" s="221" t="e">
        <f ca="1">COUNTIF(#REF!,C36)</f>
        <v>#REF!</v>
      </c>
      <c r="E36" s="222" t="s">
        <v>3</v>
      </c>
      <c r="F36" s="222" t="s">
        <v>5</v>
      </c>
      <c r="G36" s="222" t="s">
        <v>3</v>
      </c>
      <c r="H36" s="304" t="e">
        <f ca="1">D36=#REF!</f>
        <v>#REF!</v>
      </c>
      <c r="I36" s="98"/>
      <c r="J36" s="98" t="e">
        <f>#REF!</f>
        <v>#REF!</v>
      </c>
      <c r="K36" s="84" t="str">
        <f ca="1">IFERROR(__xludf.DUMMYFUNCTION("""COMPUTED_VALUE"""),"204")</f>
        <v>204</v>
      </c>
      <c r="L36" s="221" t="e">
        <f ca="1">COUNTIFS(#REF!,K36,#REF!,"No")</f>
        <v>#REF!</v>
      </c>
      <c r="M36" s="222" t="s">
        <v>3</v>
      </c>
      <c r="N36" s="222" t="s">
        <v>5</v>
      </c>
      <c r="O36" s="223" t="s">
        <v>3</v>
      </c>
      <c r="Q36" s="294" t="e">
        <f>#REF!</f>
        <v>#REF!</v>
      </c>
      <c r="R36" s="84" t="str">
        <f ca="1">IFERROR(__xludf.DUMMYFUNCTION("""COMPUTED_VALUE"""),"204")</f>
        <v>204</v>
      </c>
      <c r="S36" s="221" t="e">
        <f ca="1">COUNTIFS(#REF!,R36,#REF!,"Yes")</f>
        <v>#REF!</v>
      </c>
      <c r="T36" s="222" t="s">
        <v>3</v>
      </c>
      <c r="U36" s="222" t="s">
        <v>3</v>
      </c>
      <c r="V36" s="223" t="s">
        <v>3</v>
      </c>
    </row>
    <row r="37" spans="1:22" ht="14.4">
      <c r="A37" s="217"/>
      <c r="B37" s="98" t="e">
        <f>#REF!</f>
        <v>#REF!</v>
      </c>
      <c r="C37" s="221" t="str">
        <f ca="1">IFERROR(__xludf.DUMMYFUNCTION("""COMPUTED_VALUE"""),"209")</f>
        <v>209</v>
      </c>
      <c r="D37" s="221" t="e">
        <f ca="1">COUNTIF(#REF!,C37)</f>
        <v>#REF!</v>
      </c>
      <c r="E37" s="222" t="s">
        <v>3</v>
      </c>
      <c r="F37" s="167" t="s">
        <v>5</v>
      </c>
      <c r="G37" s="222" t="s">
        <v>3</v>
      </c>
      <c r="H37" s="304" t="e">
        <f ca="1">D37=#REF!</f>
        <v>#REF!</v>
      </c>
      <c r="I37" s="98"/>
      <c r="J37" s="98" t="e">
        <f>#REF!</f>
        <v>#REF!</v>
      </c>
      <c r="K37" s="84" t="str">
        <f ca="1">IFERROR(__xludf.DUMMYFUNCTION("""COMPUTED_VALUE"""),"209")</f>
        <v>209</v>
      </c>
      <c r="L37" s="221" t="e">
        <f ca="1">COUNTIFS(#REF!,K37,#REF!,"No")</f>
        <v>#REF!</v>
      </c>
      <c r="M37" s="222" t="s">
        <v>3</v>
      </c>
      <c r="N37" s="167" t="s">
        <v>5</v>
      </c>
      <c r="O37" s="223" t="s">
        <v>3</v>
      </c>
      <c r="Q37" s="294" t="e">
        <f>#REF!</f>
        <v>#REF!</v>
      </c>
      <c r="R37" s="84" t="str">
        <f ca="1">IFERROR(__xludf.DUMMYFUNCTION("""COMPUTED_VALUE"""),"209")</f>
        <v>209</v>
      </c>
      <c r="S37" s="221" t="e">
        <f ca="1">COUNTIFS(#REF!,R37,#REF!,"Yes")</f>
        <v>#REF!</v>
      </c>
      <c r="T37" s="222" t="s">
        <v>5</v>
      </c>
      <c r="U37" s="167" t="s">
        <v>31</v>
      </c>
      <c r="V37" s="223" t="s">
        <v>3</v>
      </c>
    </row>
    <row r="38" spans="1:22" ht="14.4">
      <c r="A38" s="217"/>
      <c r="B38" s="98">
        <v>10</v>
      </c>
      <c r="C38" s="221"/>
      <c r="D38" s="221" t="e">
        <f>COUNTIF(#REF!,C38)</f>
        <v>#REF!</v>
      </c>
      <c r="E38" s="167"/>
      <c r="F38" s="167"/>
      <c r="G38" s="219"/>
      <c r="H38" s="219"/>
      <c r="I38" s="210"/>
      <c r="J38" s="98">
        <v>10</v>
      </c>
      <c r="K38" s="84"/>
      <c r="L38" s="221" t="e">
        <f>COUNTIFS(#REF!,K38,#REF!,"No")</f>
        <v>#REF!</v>
      </c>
      <c r="M38" s="167"/>
      <c r="N38" s="167"/>
      <c r="O38" s="226"/>
      <c r="Q38" s="294">
        <v>10</v>
      </c>
      <c r="R38" s="84"/>
      <c r="S38" s="221" t="e">
        <f>COUNTIFS(#REF!,R38,#REF!,"Yes")</f>
        <v>#REF!</v>
      </c>
      <c r="T38" s="167"/>
      <c r="U38" s="167"/>
      <c r="V38" s="226"/>
    </row>
    <row r="39" spans="1:22" ht="14.4">
      <c r="A39" s="217"/>
      <c r="B39" s="98">
        <v>11</v>
      </c>
      <c r="C39" s="221"/>
      <c r="D39" s="221" t="e">
        <f>COUNTIF(#REF!,C39)</f>
        <v>#REF!</v>
      </c>
      <c r="E39" s="167"/>
      <c r="F39" s="167"/>
      <c r="G39" s="166"/>
      <c r="H39" s="130"/>
      <c r="I39" s="98"/>
      <c r="J39" s="98">
        <v>11</v>
      </c>
      <c r="K39" s="84"/>
      <c r="L39" s="221" t="e">
        <f>COUNTIFS(#REF!,K39,#REF!,"No")</f>
        <v>#REF!</v>
      </c>
      <c r="M39" s="167"/>
      <c r="N39" s="167"/>
      <c r="O39" s="226"/>
      <c r="Q39" s="294">
        <v>11</v>
      </c>
      <c r="R39" s="84"/>
      <c r="S39" s="221" t="e">
        <f>COUNTIFS(#REF!,R39,#REF!,"Yes")</f>
        <v>#REF!</v>
      </c>
      <c r="T39" s="167"/>
      <c r="U39" s="167"/>
      <c r="V39" s="226"/>
    </row>
    <row r="40" spans="1:22" ht="14.4">
      <c r="A40" s="217"/>
      <c r="B40" s="98">
        <v>12</v>
      </c>
      <c r="C40" s="221"/>
      <c r="D40" s="221" t="e">
        <f>COUNTIF(#REF!,C40)</f>
        <v>#REF!</v>
      </c>
      <c r="E40" s="167"/>
      <c r="F40" s="167"/>
      <c r="G40" s="166"/>
      <c r="H40" s="130"/>
      <c r="I40" s="98"/>
      <c r="J40" s="98">
        <v>12</v>
      </c>
      <c r="K40" s="84"/>
      <c r="L40" s="221" t="e">
        <f>COUNTIFS(#REF!,K40,#REF!,"No")</f>
        <v>#REF!</v>
      </c>
      <c r="M40" s="167"/>
      <c r="N40" s="167"/>
      <c r="O40" s="226"/>
      <c r="Q40" s="294">
        <v>12</v>
      </c>
      <c r="R40" s="84"/>
      <c r="S40" s="221" t="e">
        <f>COUNTIFS(#REF!,R40,#REF!,"Yes")</f>
        <v>#REF!</v>
      </c>
      <c r="T40" s="167"/>
      <c r="U40" s="167"/>
      <c r="V40" s="226"/>
    </row>
    <row r="41" spans="1:22" ht="14.4">
      <c r="A41" s="217"/>
      <c r="B41" s="98">
        <v>13</v>
      </c>
      <c r="C41" s="221"/>
      <c r="D41" s="221" t="e">
        <f>COUNTIF(#REF!,C41)</f>
        <v>#REF!</v>
      </c>
      <c r="E41" s="167"/>
      <c r="F41" s="167"/>
      <c r="G41" s="166"/>
      <c r="H41" s="130"/>
      <c r="I41" s="98"/>
      <c r="J41" s="98">
        <v>13</v>
      </c>
      <c r="K41" s="84"/>
      <c r="L41" s="221" t="e">
        <f>COUNTIFS(#REF!,K41,#REF!,"No")</f>
        <v>#REF!</v>
      </c>
      <c r="M41" s="167"/>
      <c r="N41" s="167"/>
      <c r="O41" s="226"/>
      <c r="Q41" s="294">
        <v>13</v>
      </c>
      <c r="R41" s="84"/>
      <c r="S41" s="221" t="e">
        <f>COUNTIFS(#REF!,R41,#REF!,"Yes")</f>
        <v>#REF!</v>
      </c>
      <c r="T41" s="167"/>
      <c r="U41" s="167"/>
      <c r="V41" s="226"/>
    </row>
    <row r="42" spans="1:22" ht="14.4">
      <c r="A42" s="217"/>
      <c r="B42" s="98">
        <v>14</v>
      </c>
      <c r="C42" s="221"/>
      <c r="D42" s="221" t="e">
        <f>COUNTIF(#REF!,C42)</f>
        <v>#REF!</v>
      </c>
      <c r="E42" s="167"/>
      <c r="F42" s="167"/>
      <c r="G42" s="166"/>
      <c r="H42" s="130"/>
      <c r="I42" s="98"/>
      <c r="J42" s="98">
        <v>14</v>
      </c>
      <c r="K42" s="84"/>
      <c r="L42" s="221" t="e">
        <f>COUNTIFS(#REF!,K42,#REF!,"No")</f>
        <v>#REF!</v>
      </c>
      <c r="M42" s="167"/>
      <c r="N42" s="167"/>
      <c r="O42" s="226"/>
      <c r="Q42" s="294">
        <v>14</v>
      </c>
      <c r="R42" s="84"/>
      <c r="S42" s="221" t="e">
        <f>COUNTIFS(#REF!,R42,#REF!,"Yes")</f>
        <v>#REF!</v>
      </c>
      <c r="T42" s="167"/>
      <c r="U42" s="167"/>
      <c r="V42" s="226"/>
    </row>
    <row r="43" spans="1:22" ht="14.4">
      <c r="A43" s="217"/>
      <c r="B43" s="98">
        <v>15</v>
      </c>
      <c r="C43" s="221"/>
      <c r="D43" s="221" t="e">
        <f>COUNTIF(#REF!,C43)</f>
        <v>#REF!</v>
      </c>
      <c r="E43" s="167"/>
      <c r="F43" s="167"/>
      <c r="G43" s="166"/>
      <c r="H43" s="130"/>
      <c r="I43" s="98"/>
      <c r="J43" s="98">
        <v>15</v>
      </c>
      <c r="K43" s="84"/>
      <c r="L43" s="221" t="e">
        <f>COUNTIFS(#REF!,K43,#REF!,"No")</f>
        <v>#REF!</v>
      </c>
      <c r="M43" s="167"/>
      <c r="N43" s="167"/>
      <c r="O43" s="226"/>
      <c r="Q43" s="294">
        <v>15</v>
      </c>
      <c r="R43" s="84"/>
      <c r="S43" s="221" t="e">
        <f>COUNTIFS(#REF!,R43,#REF!,"Yes")</f>
        <v>#REF!</v>
      </c>
      <c r="T43" s="167"/>
      <c r="U43" s="167"/>
      <c r="V43" s="226"/>
    </row>
    <row r="44" spans="1:22" ht="14.4">
      <c r="A44" s="217"/>
      <c r="B44" s="98">
        <v>16</v>
      </c>
      <c r="C44" s="221"/>
      <c r="D44" s="221" t="e">
        <f>COUNTIF(#REF!,C44)</f>
        <v>#REF!</v>
      </c>
      <c r="E44" s="167"/>
      <c r="F44" s="167"/>
      <c r="G44" s="166"/>
      <c r="H44" s="130"/>
      <c r="I44" s="98"/>
      <c r="J44" s="98">
        <v>16</v>
      </c>
      <c r="K44" s="84"/>
      <c r="L44" s="221" t="e">
        <f>COUNTIFS(#REF!,K44,#REF!,"No")</f>
        <v>#REF!</v>
      </c>
      <c r="M44" s="167"/>
      <c r="N44" s="167"/>
      <c r="O44" s="226"/>
      <c r="Q44" s="294">
        <v>16</v>
      </c>
      <c r="R44" s="84"/>
      <c r="S44" s="221" t="e">
        <f>COUNTIFS(#REF!,R44,#REF!,"Yes")</f>
        <v>#REF!</v>
      </c>
      <c r="T44" s="167"/>
      <c r="U44" s="167"/>
      <c r="V44" s="226"/>
    </row>
    <row r="45" spans="1:22" ht="14.4">
      <c r="A45" s="217"/>
      <c r="B45" s="98">
        <v>17</v>
      </c>
      <c r="C45" s="221"/>
      <c r="D45" s="221" t="e">
        <f>COUNTIF(#REF!,C45)</f>
        <v>#REF!</v>
      </c>
      <c r="E45" s="167"/>
      <c r="F45" s="167"/>
      <c r="G45" s="166"/>
      <c r="H45" s="130"/>
      <c r="I45" s="98"/>
      <c r="J45" s="98">
        <v>17</v>
      </c>
      <c r="K45" s="84"/>
      <c r="L45" s="221" t="e">
        <f>COUNTIFS(#REF!,K45,#REF!,"No")</f>
        <v>#REF!</v>
      </c>
      <c r="M45" s="167"/>
      <c r="N45" s="167"/>
      <c r="O45" s="226"/>
      <c r="Q45" s="294">
        <v>17</v>
      </c>
      <c r="R45" s="84"/>
      <c r="S45" s="221" t="e">
        <f>COUNTIFS(#REF!,R45,#REF!,"Yes")</f>
        <v>#REF!</v>
      </c>
      <c r="T45" s="167"/>
      <c r="U45" s="167"/>
      <c r="V45" s="226"/>
    </row>
    <row r="46" spans="1:22" ht="14.4">
      <c r="A46" s="217"/>
      <c r="B46" s="98">
        <v>18</v>
      </c>
      <c r="C46" s="221"/>
      <c r="D46" s="221" t="e">
        <f>COUNTIF(#REF!,C46)</f>
        <v>#REF!</v>
      </c>
      <c r="E46" s="167"/>
      <c r="F46" s="167"/>
      <c r="G46" s="166"/>
      <c r="H46" s="130"/>
      <c r="I46" s="98"/>
      <c r="J46" s="98">
        <v>18</v>
      </c>
      <c r="K46" s="84"/>
      <c r="L46" s="221" t="e">
        <f>COUNTIFS(#REF!,K46,#REF!,"No")</f>
        <v>#REF!</v>
      </c>
      <c r="M46" s="167"/>
      <c r="N46" s="167"/>
      <c r="O46" s="226"/>
      <c r="Q46" s="294">
        <v>18</v>
      </c>
      <c r="R46" s="84"/>
      <c r="S46" s="221" t="e">
        <f>COUNTIFS(#REF!,R46,#REF!,"Yes")</f>
        <v>#REF!</v>
      </c>
      <c r="T46" s="167"/>
      <c r="U46" s="167"/>
      <c r="V46" s="226"/>
    </row>
    <row r="47" spans="1:22" ht="14.4">
      <c r="A47" s="217"/>
      <c r="B47" s="98">
        <v>19</v>
      </c>
      <c r="C47" s="221"/>
      <c r="D47" s="221" t="e">
        <f>COUNTIF(#REF!,C47)</f>
        <v>#REF!</v>
      </c>
      <c r="E47" s="166"/>
      <c r="F47" s="166"/>
      <c r="G47" s="166"/>
      <c r="H47" s="130"/>
      <c r="I47" s="98"/>
      <c r="J47" s="98">
        <v>19</v>
      </c>
      <c r="K47" s="84"/>
      <c r="L47" s="221" t="e">
        <f>COUNTIFS(#REF!,K47,#REF!,"No")</f>
        <v>#REF!</v>
      </c>
      <c r="M47" s="166"/>
      <c r="N47" s="166"/>
      <c r="O47" s="226"/>
      <c r="Q47" s="294">
        <v>19</v>
      </c>
      <c r="R47" s="84"/>
      <c r="S47" s="221" t="e">
        <f>COUNTIFS(#REF!,R47,#REF!,"Yes")</f>
        <v>#REF!</v>
      </c>
      <c r="T47" s="166"/>
      <c r="U47" s="166"/>
      <c r="V47" s="226"/>
    </row>
    <row r="48" spans="1:22" ht="14.4">
      <c r="A48" s="217"/>
      <c r="B48" s="98">
        <v>20</v>
      </c>
      <c r="C48" s="84"/>
      <c r="D48" s="221" t="e">
        <f>COUNTIF(#REF!,C48)</f>
        <v>#REF!</v>
      </c>
      <c r="E48" s="166"/>
      <c r="F48" s="166"/>
      <c r="G48" s="166"/>
      <c r="H48" s="130"/>
      <c r="I48" s="98"/>
      <c r="J48" s="98">
        <v>20</v>
      </c>
      <c r="K48" s="84"/>
      <c r="L48" s="221" t="e">
        <f>COUNTIFS(#REF!,K48,#REF!,"No")</f>
        <v>#REF!</v>
      </c>
      <c r="M48" s="166"/>
      <c r="N48" s="166"/>
      <c r="O48" s="226"/>
      <c r="Q48" s="294">
        <v>20</v>
      </c>
      <c r="R48" s="84"/>
      <c r="S48" s="221" t="e">
        <f>COUNTIFS(#REF!,R48,#REF!,"Yes")</f>
        <v>#REF!</v>
      </c>
      <c r="T48" s="166"/>
      <c r="U48" s="166"/>
      <c r="V48" s="226"/>
    </row>
    <row r="49" spans="1:22" ht="15" thickBot="1">
      <c r="A49" s="217"/>
      <c r="B49" s="98">
        <v>21</v>
      </c>
      <c r="C49" s="84"/>
      <c r="D49" s="221" t="e">
        <f>COUNTIF(#REF!,C49)</f>
        <v>#REF!</v>
      </c>
      <c r="E49" s="166"/>
      <c r="F49" s="166"/>
      <c r="G49" s="166"/>
      <c r="H49" s="130"/>
      <c r="I49" s="98"/>
      <c r="J49" s="98">
        <v>21</v>
      </c>
      <c r="K49" s="84"/>
      <c r="L49" s="221" t="e">
        <f>COUNTIFS(#REF!,K49,#REF!,"No")</f>
        <v>#REF!</v>
      </c>
      <c r="M49" s="166"/>
      <c r="N49" s="166"/>
      <c r="O49" s="226"/>
      <c r="Q49" s="294">
        <v>21</v>
      </c>
      <c r="R49" s="84"/>
      <c r="S49" s="221" t="e">
        <f>COUNTIFS(#REF!,R49,#REF!,"Yes")</f>
        <v>#REF!</v>
      </c>
      <c r="T49" s="166"/>
      <c r="U49" s="166"/>
      <c r="V49" s="226"/>
    </row>
    <row r="50" spans="1:22" ht="15" thickBot="1">
      <c r="A50" s="227"/>
      <c r="B50" s="228" t="s">
        <v>62</v>
      </c>
      <c r="C50" s="229"/>
      <c r="D50" s="229" t="e">
        <f ca="1">SUM(D31:D49)</f>
        <v>#REF!</v>
      </c>
      <c r="E50" s="229" t="e">
        <f ca="1">SUMIF(E31:E49, "Yes", $D$31:$D$49)</f>
        <v>#REF!</v>
      </c>
      <c r="F50" s="229" t="e">
        <f ca="1">SUMIF(F31:F49, "Yes", $D$31:$D$49)</f>
        <v>#REF!</v>
      </c>
      <c r="G50" s="229" t="e">
        <f ca="1">SUMIF(G31:G49, "Yes", $D$31:$D$49)</f>
        <v>#REF!</v>
      </c>
      <c r="H50" s="230"/>
      <c r="I50" s="230"/>
      <c r="J50" s="228" t="s">
        <v>62</v>
      </c>
      <c r="K50" s="229"/>
      <c r="L50" s="229" t="e">
        <f ca="1">SUM(L31:L49)</f>
        <v>#REF!</v>
      </c>
      <c r="M50" s="229" t="e">
        <f ca="1">SUMIF(M31:M48, "Yes", $L$31:$L$49)</f>
        <v>#REF!</v>
      </c>
      <c r="N50" s="229" t="e">
        <f ca="1">SUMIF(N31:N48, "Yes", $L$31:$L$49)</f>
        <v>#REF!</v>
      </c>
      <c r="O50" s="231" t="e">
        <f ca="1">SUMIF(O31:O48, "Yes", $L$31:$L$49)</f>
        <v>#REF!</v>
      </c>
      <c r="Q50" s="295" t="s">
        <v>62</v>
      </c>
      <c r="R50" s="229"/>
      <c r="S50" s="229" t="e">
        <f ca="1">SUM(S31:S49)</f>
        <v>#REF!</v>
      </c>
      <c r="T50" s="229" t="e">
        <f ca="1">SUMIF(T31:T48, "Yes", $L$31:$L$49)</f>
        <v>#REF!</v>
      </c>
      <c r="U50" s="229" t="e">
        <f ca="1">SUMIF(U31:U48, "Yes", $L$31:$L$49)</f>
        <v>#REF!</v>
      </c>
      <c r="V50" s="231" t="e">
        <f ca="1">SUMIF(V31:V48, "Yes", $L$31:$L$49)</f>
        <v>#REF!</v>
      </c>
    </row>
    <row r="51" spans="1:22" ht="14.4">
      <c r="A51" s="211" t="s">
        <v>63</v>
      </c>
      <c r="B51" s="138"/>
      <c r="C51" s="139"/>
      <c r="D51" s="305" t="e">
        <f ca="1">D50=#REF!</f>
        <v>#REF!</v>
      </c>
      <c r="E51" s="139"/>
      <c r="F51" s="139"/>
      <c r="G51" s="138"/>
      <c r="H51" s="139"/>
      <c r="I51" s="139"/>
      <c r="J51" s="138"/>
      <c r="K51" s="98"/>
      <c r="L51" s="98"/>
      <c r="M51" s="98"/>
      <c r="N51" s="98"/>
      <c r="O51" s="98"/>
      <c r="P51" s="125"/>
      <c r="Q51" s="98"/>
      <c r="R51" s="98"/>
      <c r="S51" s="98"/>
      <c r="T51" s="98"/>
      <c r="U51" s="98"/>
      <c r="V51" s="107"/>
    </row>
    <row r="52" spans="1:22" ht="14.4">
      <c r="A52" s="164"/>
      <c r="B52" s="138"/>
      <c r="C52" s="139"/>
      <c r="D52" s="98"/>
      <c r="E52" s="139"/>
      <c r="F52" s="139"/>
      <c r="G52" s="138"/>
      <c r="H52" s="139"/>
      <c r="I52" s="139"/>
      <c r="J52" s="13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107"/>
    </row>
    <row r="53" spans="1:22" ht="15" thickBot="1">
      <c r="A53" s="164"/>
      <c r="B53" s="138"/>
      <c r="C53" s="139"/>
      <c r="D53" s="98"/>
      <c r="E53" s="139"/>
      <c r="F53" s="139"/>
      <c r="G53" s="138"/>
      <c r="H53" s="139"/>
      <c r="I53" s="139"/>
      <c r="J53" s="13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107"/>
    </row>
    <row r="54" spans="1:22" ht="14.4">
      <c r="A54" s="164"/>
      <c r="B54" s="290" t="s">
        <v>64</v>
      </c>
      <c r="C54" s="213"/>
      <c r="D54" s="213"/>
      <c r="E54" s="213"/>
      <c r="F54" s="213"/>
      <c r="G54" s="301"/>
      <c r="H54" s="98"/>
      <c r="I54" s="98"/>
      <c r="J54" s="290" t="s">
        <v>65</v>
      </c>
      <c r="K54" s="214"/>
      <c r="L54" s="214"/>
      <c r="M54" s="214"/>
      <c r="N54" s="214"/>
      <c r="O54" s="216"/>
      <c r="P54" s="98"/>
      <c r="Q54" s="290" t="s">
        <v>66</v>
      </c>
      <c r="R54" s="214"/>
      <c r="S54" s="214"/>
      <c r="T54" s="214"/>
      <c r="U54" s="214"/>
      <c r="V54" s="216"/>
    </row>
    <row r="55" spans="1:22" ht="14.4">
      <c r="A55" s="164"/>
      <c r="B55" s="294"/>
      <c r="C55" s="302" t="s">
        <v>57</v>
      </c>
      <c r="D55" s="302" t="s">
        <v>58</v>
      </c>
      <c r="E55" s="219" t="s">
        <v>59</v>
      </c>
      <c r="F55" s="219" t="s">
        <v>60</v>
      </c>
      <c r="G55" s="220" t="s">
        <v>102</v>
      </c>
      <c r="H55" s="130"/>
      <c r="I55" s="98"/>
      <c r="J55" s="293" t="s">
        <v>67</v>
      </c>
      <c r="K55" s="218" t="s">
        <v>57</v>
      </c>
      <c r="L55" s="218" t="s">
        <v>58</v>
      </c>
      <c r="M55" s="219" t="s">
        <v>59</v>
      </c>
      <c r="N55" s="219" t="s">
        <v>60</v>
      </c>
      <c r="O55" s="220" t="s">
        <v>102</v>
      </c>
      <c r="P55" s="98"/>
      <c r="Q55" s="293"/>
      <c r="R55" s="218" t="s">
        <v>57</v>
      </c>
      <c r="S55" s="218" t="s">
        <v>58</v>
      </c>
      <c r="T55" s="219" t="s">
        <v>59</v>
      </c>
      <c r="U55" s="219" t="s">
        <v>60</v>
      </c>
      <c r="V55" s="220" t="s">
        <v>102</v>
      </c>
    </row>
    <row r="56" spans="1:22" ht="14.4">
      <c r="A56" s="164"/>
      <c r="B56" s="294">
        <f>'One year follow-up_Virtual'!D2</f>
        <v>0</v>
      </c>
      <c r="C56" s="84" t="str">
        <f ca="1">IFERROR(__xludf.DUMMYFUNCTION("ARRAY_CONSTRAIN(ARRAYFORMULA(UNIQUE('One year follow-up'!$B14:$B208)), 19, 1)"),"170")</f>
        <v>170</v>
      </c>
      <c r="D56" s="222">
        <f ca="1">COUNTIF('One year follow-up_Virtual'!$B$12:$B$4905,C56)</f>
        <v>0</v>
      </c>
      <c r="E56" s="167" t="s">
        <v>3</v>
      </c>
      <c r="F56" s="167" t="s">
        <v>5</v>
      </c>
      <c r="G56" s="225" t="s">
        <v>3</v>
      </c>
      <c r="H56" s="130"/>
      <c r="I56" s="98"/>
      <c r="J56" s="294" t="s">
        <v>115</v>
      </c>
      <c r="K56" s="84" t="s">
        <v>125</v>
      </c>
      <c r="L56" s="98">
        <f>COUNTIFS('One year follow-up_Virtual'!$B$13:$B$1905,K56,'One year follow-up_Virtual'!$Q$13:$Q$1905,"Yes")</f>
        <v>0</v>
      </c>
      <c r="M56" s="167" t="s">
        <v>3</v>
      </c>
      <c r="N56" s="167" t="s">
        <v>5</v>
      </c>
      <c r="O56" s="225" t="s">
        <v>3</v>
      </c>
      <c r="P56" s="98"/>
      <c r="Q56" s="294">
        <f>'One year follow-up_Virtual'!D2</f>
        <v>0</v>
      </c>
      <c r="R56" s="84" t="str">
        <f ca="1">IFERROR(__xludf.DUMMYFUNCTION("""COMPUTED_VALUE"""),"170")</f>
        <v>170</v>
      </c>
      <c r="S56" s="84">
        <f ca="1">COUNTIFS('One year follow-up_Virtual'!$B$13:$B$3205,R56,'One year follow-up_Virtual'!$Q$13:$Q$3205,"No")</f>
        <v>0</v>
      </c>
      <c r="T56" s="167" t="s">
        <v>3</v>
      </c>
      <c r="U56" s="303" t="s">
        <v>5</v>
      </c>
      <c r="V56" s="225" t="s">
        <v>3</v>
      </c>
    </row>
    <row r="57" spans="1:22" ht="14.4">
      <c r="A57" s="164"/>
      <c r="B57" s="294">
        <f>'One year follow-up_Virtual'!D3</f>
        <v>0</v>
      </c>
      <c r="C57" s="84" t="str">
        <f ca="1">IFERROR(__xludf.DUMMYFUNCTION("ARRAY_CONSTRAIN(ARRAYFORMULA(UNIQUE('One year follow-up'!$B14:$B208)), 19, 1)"),"145")</f>
        <v>145</v>
      </c>
      <c r="D57" s="222">
        <f ca="1">COUNTIF('One year follow-up_Virtual'!$B$13:$B$4905,C57)</f>
        <v>0</v>
      </c>
      <c r="E57" s="222" t="s">
        <v>3</v>
      </c>
      <c r="F57" s="222" t="s">
        <v>5</v>
      </c>
      <c r="G57" s="226" t="s">
        <v>3</v>
      </c>
      <c r="H57" s="98"/>
      <c r="I57" s="98"/>
      <c r="J57" s="294" t="s">
        <v>116</v>
      </c>
      <c r="K57" s="84" t="s">
        <v>126</v>
      </c>
      <c r="L57" s="98">
        <f>COUNTIFS('One year follow-up_Virtual'!$B$13:$B$214,K57,'One year follow-up_Virtual'!$Q$13:$Q$214,"Yes")</f>
        <v>0</v>
      </c>
      <c r="M57" s="222" t="s">
        <v>3</v>
      </c>
      <c r="N57" s="222" t="s">
        <v>5</v>
      </c>
      <c r="O57" s="226" t="s">
        <v>3</v>
      </c>
      <c r="P57" s="98"/>
      <c r="Q57" s="294">
        <f>'One year follow-up_Virtual'!D3</f>
        <v>0</v>
      </c>
      <c r="R57" s="84" t="str">
        <f ca="1">IFERROR(__xludf.DUMMYFUNCTION("""COMPUTED_VALUE"""),"145")</f>
        <v>145</v>
      </c>
      <c r="S57" s="84" t="e">
        <f ca="1">COUNTIFS('One year follow-up_Virtual'!#REF!,R57,'One year follow-up_Virtual'!#REF!,"No")</f>
        <v>#REF!</v>
      </c>
      <c r="T57" s="167" t="s">
        <v>3</v>
      </c>
      <c r="U57" s="303" t="s">
        <v>5</v>
      </c>
      <c r="V57" s="225" t="s">
        <v>3</v>
      </c>
    </row>
    <row r="58" spans="1:22" ht="14.4">
      <c r="A58" s="164"/>
      <c r="B58" s="294">
        <f>'One year follow-up_Virtual'!D4</f>
        <v>0</v>
      </c>
      <c r="C58" s="222" t="str">
        <f ca="1">IFERROR(__xludf.DUMMYFUNCTION("""COMPUTED_VALUE"""),"140")</f>
        <v>140</v>
      </c>
      <c r="D58" s="222">
        <f ca="1">COUNTIF('One year follow-up_Virtual'!$B$13:$B$4905,C58)</f>
        <v>0</v>
      </c>
      <c r="E58" s="222" t="s">
        <v>5</v>
      </c>
      <c r="F58" s="222" t="s">
        <v>5</v>
      </c>
      <c r="G58" s="226" t="s">
        <v>5</v>
      </c>
      <c r="H58" s="98"/>
      <c r="I58" s="98"/>
      <c r="J58" s="294" t="s">
        <v>120</v>
      </c>
      <c r="K58" s="222" t="s">
        <v>127</v>
      </c>
      <c r="L58" s="98">
        <f>COUNTIFS('One year follow-up_Virtual'!$B$13:$B$3805,K58,'One year follow-up_Virtual'!$Q$13:$Q$3805,"Yes")</f>
        <v>0</v>
      </c>
      <c r="M58" s="222" t="s">
        <v>5</v>
      </c>
      <c r="N58" s="222" t="s">
        <v>5</v>
      </c>
      <c r="O58" s="226" t="s">
        <v>5</v>
      </c>
      <c r="P58" s="98"/>
      <c r="Q58" s="294">
        <f>'One year follow-up_Virtual'!D4</f>
        <v>0</v>
      </c>
      <c r="R58" s="84" t="str">
        <f ca="1">IFERROR(__xludf.DUMMYFUNCTION("""COMPUTED_VALUE"""),"140")</f>
        <v>140</v>
      </c>
      <c r="S58" s="84" t="e">
        <f ca="1">COUNTIFS('One year follow-up_Virtual'!#REF!,R58,'One year follow-up_Virtual'!#REF!,"No")</f>
        <v>#REF!</v>
      </c>
      <c r="T58" s="167" t="s">
        <v>5</v>
      </c>
      <c r="U58" s="303" t="s">
        <v>5</v>
      </c>
      <c r="V58" s="225" t="s">
        <v>5</v>
      </c>
    </row>
    <row r="59" spans="1:22" ht="14.4">
      <c r="A59" s="164"/>
      <c r="B59" s="294">
        <f>'One year follow-up_Virtual'!D5</f>
        <v>0</v>
      </c>
      <c r="C59" s="222" t="str">
        <f ca="1">IFERROR(__xludf.DUMMYFUNCTION("""COMPUTED_VALUE"""),"142")</f>
        <v>142</v>
      </c>
      <c r="D59" s="222">
        <f ca="1">COUNTIF('One year follow-up_Virtual'!$B$13:$B$4905,C59)</f>
        <v>0</v>
      </c>
      <c r="E59" s="222" t="s">
        <v>3</v>
      </c>
      <c r="F59" s="222" t="s">
        <v>5</v>
      </c>
      <c r="G59" s="226" t="s">
        <v>3</v>
      </c>
      <c r="H59" s="98"/>
      <c r="I59" s="98"/>
      <c r="J59" s="294" t="s">
        <v>121</v>
      </c>
      <c r="K59" s="222" t="s">
        <v>128</v>
      </c>
      <c r="L59" s="98">
        <f>COUNTIFS('One year follow-up_Virtual'!$B$13:$B$3805,K59,'One year follow-up_Virtual'!$Q$13:$Q$3805,"Yes")</f>
        <v>0</v>
      </c>
      <c r="M59" s="222" t="s">
        <v>3</v>
      </c>
      <c r="N59" s="222" t="s">
        <v>5</v>
      </c>
      <c r="O59" s="226" t="s">
        <v>3</v>
      </c>
      <c r="P59" s="98"/>
      <c r="Q59" s="294">
        <f>'One year follow-up_Virtual'!D5</f>
        <v>0</v>
      </c>
      <c r="R59" s="84" t="str">
        <f ca="1">IFERROR(__xludf.DUMMYFUNCTION("""COMPUTED_VALUE"""),"142")</f>
        <v>142</v>
      </c>
      <c r="S59" s="84" t="e">
        <f ca="1">COUNTIFS('One year follow-up_Virtual'!#REF!,R59,'One year follow-up_Virtual'!#REF!,"No")</f>
        <v>#REF!</v>
      </c>
      <c r="T59" s="167" t="s">
        <v>3</v>
      </c>
      <c r="U59" s="303" t="s">
        <v>5</v>
      </c>
      <c r="V59" s="225" t="s">
        <v>3</v>
      </c>
    </row>
    <row r="60" spans="1:22" ht="14.4">
      <c r="A60" s="164"/>
      <c r="B60" s="294">
        <f>'One year follow-up_Virtual'!D6</f>
        <v>0</v>
      </c>
      <c r="C60" s="222" t="str">
        <f ca="1">IFERROR(__xludf.DUMMYFUNCTION("""COMPUTED_VALUE"""),"143")</f>
        <v>143</v>
      </c>
      <c r="D60" s="222">
        <f ca="1">COUNTIF('One year follow-up_Virtual'!$B$13:$B$4905,C60)</f>
        <v>0</v>
      </c>
      <c r="E60" s="222" t="s">
        <v>3</v>
      </c>
      <c r="F60" s="222" t="s">
        <v>5</v>
      </c>
      <c r="G60" s="226" t="s">
        <v>3</v>
      </c>
      <c r="H60" s="130"/>
      <c r="I60" s="98"/>
      <c r="J60" s="294" t="s">
        <v>122</v>
      </c>
      <c r="K60" s="222" t="s">
        <v>129</v>
      </c>
      <c r="L60" s="98">
        <f>COUNTIFS('One year follow-up_Virtual'!$B$13:$B$3805,K60,'One year follow-up_Virtual'!$Q$13:$Q$3805,"Yes")</f>
        <v>0</v>
      </c>
      <c r="M60" s="222" t="s">
        <v>3</v>
      </c>
      <c r="N60" s="222" t="s">
        <v>5</v>
      </c>
      <c r="O60" s="226" t="s">
        <v>3</v>
      </c>
      <c r="P60" s="98"/>
      <c r="Q60" s="294">
        <f>'One year follow-up_Virtual'!D6</f>
        <v>0</v>
      </c>
      <c r="R60" s="84" t="str">
        <f ca="1">IFERROR(__xludf.DUMMYFUNCTION("""COMPUTED_VALUE"""),"143")</f>
        <v>143</v>
      </c>
      <c r="S60" s="84" t="e">
        <f ca="1">COUNTIFS('One year follow-up_Virtual'!#REF!,R60,'One year follow-up_Virtual'!#REF!,"No")</f>
        <v>#REF!</v>
      </c>
      <c r="T60" s="167" t="s">
        <v>3</v>
      </c>
      <c r="U60" s="303" t="s">
        <v>5</v>
      </c>
      <c r="V60" s="225" t="s">
        <v>3</v>
      </c>
    </row>
    <row r="61" spans="1:22" ht="14.4">
      <c r="A61" s="164"/>
      <c r="B61" s="294">
        <f>'One year follow-up_Virtual'!D7</f>
        <v>0</v>
      </c>
      <c r="C61" s="222" t="str">
        <f ca="1">IFERROR(__xludf.DUMMYFUNCTION("""COMPUTED_VALUE"""),"0")</f>
        <v>0</v>
      </c>
      <c r="D61" s="222" t="e">
        <f ca="1">COUNTIF('One year follow-up_Virtual'!#REF!,C61)</f>
        <v>#REF!</v>
      </c>
      <c r="E61" s="167"/>
      <c r="F61" s="167"/>
      <c r="G61" s="226"/>
      <c r="H61" s="130"/>
      <c r="I61" s="98"/>
      <c r="J61" s="294">
        <v>6</v>
      </c>
      <c r="K61" s="84" t="str">
        <f ca="1">IFERROR(__xludf.DUMMYFUNCTION("""COMPUTED_VALUE"""),"0")</f>
        <v>0</v>
      </c>
      <c r="L61" s="98" t="e">
        <f ca="1">COUNTIFS('One year follow-up_Virtual'!#REF!,K61,'One year follow-up_Virtual'!#REF!,"Yes")</f>
        <v>#REF!</v>
      </c>
      <c r="M61" s="167"/>
      <c r="N61" s="167"/>
      <c r="O61" s="226"/>
      <c r="P61" s="98"/>
      <c r="Q61" s="294">
        <v>6</v>
      </c>
      <c r="R61" s="84" t="str">
        <f ca="1">IFERROR(__xludf.DUMMYFUNCTION("""COMPUTED_VALUE"""),"0")</f>
        <v>0</v>
      </c>
      <c r="S61" s="98" t="e">
        <f ca="1">COUNTIFS('One year follow-up_Virtual'!#REF!,R61,'One year follow-up_Virtual'!#REF!,"No")</f>
        <v>#REF!</v>
      </c>
      <c r="T61" s="167"/>
      <c r="U61" s="167"/>
      <c r="V61" s="226"/>
    </row>
    <row r="62" spans="1:22" ht="14.4">
      <c r="A62" s="164"/>
      <c r="B62" s="294">
        <v>7</v>
      </c>
      <c r="C62" s="222" t="str">
        <f ca="1">IFERROR(__xludf.DUMMYFUNCTION("""COMPUTED_VALUE"""),"0")</f>
        <v>0</v>
      </c>
      <c r="D62" s="222" t="e">
        <f ca="1">COUNTIF('One year follow-up_Virtual'!#REF!,C62)</f>
        <v>#REF!</v>
      </c>
      <c r="E62" s="222"/>
      <c r="F62" s="167"/>
      <c r="G62" s="226"/>
      <c r="H62" s="130"/>
      <c r="I62" s="98"/>
      <c r="J62" s="294">
        <v>7</v>
      </c>
      <c r="K62" s="84" t="str">
        <f ca="1">IFERROR(__xludf.DUMMYFUNCTION("""COMPUTED_VALUE"""),"0")</f>
        <v>0</v>
      </c>
      <c r="L62" s="98" t="e">
        <f ca="1">COUNTIFS('One year follow-up_Virtual'!#REF!,K62,'One year follow-up_Virtual'!#REF!,"Yes")</f>
        <v>#REF!</v>
      </c>
      <c r="M62" s="222"/>
      <c r="N62" s="167"/>
      <c r="O62" s="226"/>
      <c r="P62" s="98"/>
      <c r="Q62" s="294">
        <v>7</v>
      </c>
      <c r="R62" s="84" t="str">
        <f ca="1">IFERROR(__xludf.DUMMYFUNCTION("""COMPUTED_VALUE"""),"0")</f>
        <v>0</v>
      </c>
      <c r="S62" s="98" t="e">
        <f ca="1">COUNTIFS('One year follow-up_Virtual'!#REF!,R62,'One year follow-up_Virtual'!#REF!,"No")</f>
        <v>#REF!</v>
      </c>
      <c r="T62" s="222"/>
      <c r="U62" s="167"/>
      <c r="V62" s="226"/>
    </row>
    <row r="63" spans="1:22" ht="14.4">
      <c r="A63" s="164"/>
      <c r="B63" s="294">
        <v>8</v>
      </c>
      <c r="C63" s="222" t="str">
        <f ca="1">IFERROR(__xludf.DUMMYFUNCTION("""COMPUTED_VALUE"""),"0")</f>
        <v>0</v>
      </c>
      <c r="D63" s="222" t="e">
        <f ca="1">COUNTIF('One year follow-up_Virtual'!#REF!,C63)</f>
        <v>#REF!</v>
      </c>
      <c r="E63" s="222"/>
      <c r="F63" s="222"/>
      <c r="G63" s="226"/>
      <c r="H63" s="130"/>
      <c r="I63" s="98"/>
      <c r="J63" s="294">
        <v>8</v>
      </c>
      <c r="K63" s="84" t="str">
        <f ca="1">IFERROR(__xludf.DUMMYFUNCTION("""COMPUTED_VALUE"""),"0")</f>
        <v>0</v>
      </c>
      <c r="L63" s="98" t="e">
        <f ca="1">COUNTIFS('One year follow-up_Virtual'!#REF!,K63,'One year follow-up_Virtual'!#REF!,"Yes")</f>
        <v>#REF!</v>
      </c>
      <c r="M63" s="222"/>
      <c r="N63" s="222"/>
      <c r="O63" s="226"/>
      <c r="P63" s="98"/>
      <c r="Q63" s="294">
        <v>8</v>
      </c>
      <c r="R63" s="84" t="str">
        <f ca="1">IFERROR(__xludf.DUMMYFUNCTION("""COMPUTED_VALUE"""),"0")</f>
        <v>0</v>
      </c>
      <c r="S63" s="98" t="e">
        <f ca="1">COUNTIFS('One year follow-up_Virtual'!#REF!,R63,'One year follow-up_Virtual'!#REF!,"No")</f>
        <v>#REF!</v>
      </c>
      <c r="T63" s="222"/>
      <c r="U63" s="222"/>
      <c r="V63" s="226"/>
    </row>
    <row r="64" spans="1:22" ht="14.4">
      <c r="A64" s="164"/>
      <c r="B64" s="294">
        <v>9</v>
      </c>
      <c r="C64" s="222" t="str">
        <f ca="1">IFERROR(__xludf.DUMMYFUNCTION("""COMPUTED_VALUE"""),"0")</f>
        <v>0</v>
      </c>
      <c r="D64" s="222" t="e">
        <f ca="1">COUNTIF('One year follow-up_Virtual'!#REF!,C64)</f>
        <v>#REF!</v>
      </c>
      <c r="E64" s="222"/>
      <c r="F64" s="222"/>
      <c r="G64" s="226"/>
      <c r="H64" s="98"/>
      <c r="I64" s="98"/>
      <c r="J64" s="294">
        <v>9</v>
      </c>
      <c r="K64" s="84" t="str">
        <f ca="1">IFERROR(__xludf.DUMMYFUNCTION("""COMPUTED_VALUE"""),"0")</f>
        <v>0</v>
      </c>
      <c r="L64" s="98" t="e">
        <f ca="1">COUNTIFS('One year follow-up_Virtual'!#REF!,K64,'One year follow-up_Virtual'!#REF!,"Yes")</f>
        <v>#REF!</v>
      </c>
      <c r="M64" s="222"/>
      <c r="N64" s="222"/>
      <c r="O64" s="226"/>
      <c r="P64" s="98"/>
      <c r="Q64" s="294">
        <v>9</v>
      </c>
      <c r="R64" s="84" t="str">
        <f ca="1">IFERROR(__xludf.DUMMYFUNCTION("""COMPUTED_VALUE"""),"0")</f>
        <v>0</v>
      </c>
      <c r="S64" s="98" t="e">
        <f ca="1">COUNTIFS('One year follow-up_Virtual'!#REF!,R64,'One year follow-up_Virtual'!#REF!,"No")</f>
        <v>#REF!</v>
      </c>
      <c r="T64" s="222"/>
      <c r="U64" s="222"/>
      <c r="V64" s="226"/>
    </row>
    <row r="65" spans="1:22" ht="14.4">
      <c r="A65" s="164"/>
      <c r="B65" s="294">
        <v>10</v>
      </c>
      <c r="C65" s="222" t="str">
        <f ca="1">IFERROR(__xludf.DUMMYFUNCTION("""COMPUTED_VALUE"""),"0")</f>
        <v>0</v>
      </c>
      <c r="D65" s="222" t="e">
        <f ca="1">COUNTIF('One year follow-up_Virtual'!#REF!,C65)</f>
        <v>#REF!</v>
      </c>
      <c r="E65" s="167"/>
      <c r="F65" s="167"/>
      <c r="G65" s="226"/>
      <c r="H65" s="98"/>
      <c r="I65" s="98"/>
      <c r="J65" s="294">
        <v>10</v>
      </c>
      <c r="K65" s="84" t="str">
        <f ca="1">IFERROR(__xludf.DUMMYFUNCTION("""COMPUTED_VALUE"""),"0")</f>
        <v>0</v>
      </c>
      <c r="L65" s="98" t="e">
        <f ca="1">COUNTIFS('One year follow-up_Virtual'!#REF!,K65,'One year follow-up_Virtual'!#REF!,"Yes")</f>
        <v>#REF!</v>
      </c>
      <c r="M65" s="167"/>
      <c r="N65" s="167"/>
      <c r="O65" s="226"/>
      <c r="P65" s="98"/>
      <c r="Q65" s="294">
        <v>10</v>
      </c>
      <c r="R65" s="84" t="str">
        <f ca="1">IFERROR(__xludf.DUMMYFUNCTION("""COMPUTED_VALUE"""),"0")</f>
        <v>0</v>
      </c>
      <c r="S65" s="98" t="e">
        <f ca="1">COUNTIFS('One year follow-up_Virtual'!#REF!,R65,'One year follow-up_Virtual'!#REF!,"No")</f>
        <v>#REF!</v>
      </c>
      <c r="T65" s="167"/>
      <c r="U65" s="167"/>
      <c r="V65" s="226"/>
    </row>
    <row r="66" spans="1:22" ht="14.4">
      <c r="A66" s="164"/>
      <c r="B66" s="294">
        <v>11</v>
      </c>
      <c r="C66" s="296" t="str">
        <f ca="1">IFERROR(__xludf.DUMMYFUNCTION("""COMPUTED_VALUE"""),"0")</f>
        <v>0</v>
      </c>
      <c r="D66" s="222" t="e">
        <f ca="1">COUNTIF('One year follow-up_Virtual'!#REF!,C66)</f>
        <v>#REF!</v>
      </c>
      <c r="E66" s="296"/>
      <c r="F66" s="166"/>
      <c r="G66" s="226"/>
      <c r="H66" s="98"/>
      <c r="I66" s="98"/>
      <c r="J66" s="294">
        <v>11</v>
      </c>
      <c r="K66" s="84" t="str">
        <f ca="1">IFERROR(__xludf.DUMMYFUNCTION("""COMPUTED_VALUE"""),"0")</f>
        <v>0</v>
      </c>
      <c r="L66" s="98" t="e">
        <f ca="1">COUNTIFS('One year follow-up_Virtual'!#REF!,K66,'One year follow-up_Virtual'!#REF!,"Yes")</f>
        <v>#REF!</v>
      </c>
      <c r="M66" s="296"/>
      <c r="N66" s="166"/>
      <c r="O66" s="226"/>
      <c r="P66" s="98"/>
      <c r="Q66" s="294">
        <v>11</v>
      </c>
      <c r="R66" s="84" t="str">
        <f ca="1">IFERROR(__xludf.DUMMYFUNCTION("""COMPUTED_VALUE"""),"0")</f>
        <v>0</v>
      </c>
      <c r="S66" s="98" t="e">
        <f ca="1">COUNTIFS('One year follow-up_Virtual'!#REF!,R66,'One year follow-up_Virtual'!#REF!,"No")</f>
        <v>#REF!</v>
      </c>
      <c r="T66" s="166"/>
      <c r="U66" s="296"/>
      <c r="V66" s="226"/>
    </row>
    <row r="67" spans="1:22" ht="14.4">
      <c r="A67" s="164"/>
      <c r="B67" s="294">
        <v>12</v>
      </c>
      <c r="C67" s="296" t="str">
        <f ca="1">IFERROR(__xludf.DUMMYFUNCTION("""COMPUTED_VALUE"""),"0")</f>
        <v>0</v>
      </c>
      <c r="D67" s="222" t="e">
        <f ca="1">COUNTIF('One year follow-up_Virtual'!#REF!,C67)</f>
        <v>#REF!</v>
      </c>
      <c r="E67" s="296"/>
      <c r="F67" s="166"/>
      <c r="G67" s="226"/>
      <c r="H67" s="98"/>
      <c r="I67" s="98"/>
      <c r="J67" s="294">
        <v>12</v>
      </c>
      <c r="K67" s="84" t="str">
        <f ca="1">IFERROR(__xludf.DUMMYFUNCTION("""COMPUTED_VALUE"""),"0")</f>
        <v>0</v>
      </c>
      <c r="L67" s="98" t="e">
        <f ca="1">COUNTIFS('One year follow-up_Virtual'!#REF!,K67,'One year follow-up_Virtual'!#REF!,"Yes")</f>
        <v>#REF!</v>
      </c>
      <c r="M67" s="296"/>
      <c r="N67" s="166"/>
      <c r="O67" s="226"/>
      <c r="P67" s="98"/>
      <c r="Q67" s="294">
        <v>12</v>
      </c>
      <c r="R67" s="84" t="str">
        <f ca="1">IFERROR(__xludf.DUMMYFUNCTION("""COMPUTED_VALUE"""),"0")</f>
        <v>0</v>
      </c>
      <c r="S67" s="98" t="e">
        <f ca="1">COUNTIFS('One year follow-up_Virtual'!#REF!,R67,'One year follow-up_Virtual'!#REF!,"No")</f>
        <v>#REF!</v>
      </c>
      <c r="T67" s="296"/>
      <c r="U67" s="166"/>
      <c r="V67" s="226"/>
    </row>
    <row r="68" spans="1:22" ht="14.4">
      <c r="A68" s="164"/>
      <c r="B68" s="294">
        <v>13</v>
      </c>
      <c r="C68" s="296" t="str">
        <f ca="1">IFERROR(__xludf.DUMMYFUNCTION("""COMPUTED_VALUE"""),"0")</f>
        <v>0</v>
      </c>
      <c r="D68" s="222" t="e">
        <f ca="1">COUNTIF('One year follow-up_Virtual'!#REF!,C68)</f>
        <v>#REF!</v>
      </c>
      <c r="E68" s="296"/>
      <c r="F68" s="296"/>
      <c r="G68" s="226"/>
      <c r="H68" s="98"/>
      <c r="I68" s="98"/>
      <c r="J68" s="294">
        <v>13</v>
      </c>
      <c r="K68" s="84" t="str">
        <f ca="1">IFERROR(__xludf.DUMMYFUNCTION("""COMPUTED_VALUE"""),"0")</f>
        <v>0</v>
      </c>
      <c r="L68" s="98" t="e">
        <f ca="1">COUNTIFS('One year follow-up_Virtual'!#REF!,K68,'One year follow-up_Virtual'!#REF!,"Yes")</f>
        <v>#REF!</v>
      </c>
      <c r="M68" s="296"/>
      <c r="N68" s="296"/>
      <c r="O68" s="226"/>
      <c r="P68" s="98"/>
      <c r="Q68" s="294">
        <v>13</v>
      </c>
      <c r="R68" s="84" t="str">
        <f ca="1">IFERROR(__xludf.DUMMYFUNCTION("""COMPUTED_VALUE"""),"0")</f>
        <v>0</v>
      </c>
      <c r="S68" s="98" t="e">
        <f ca="1">COUNTIFS('One year follow-up_Virtual'!#REF!,R68,'One year follow-up_Virtual'!#REF!,"No")</f>
        <v>#REF!</v>
      </c>
      <c r="T68" s="296"/>
      <c r="U68" s="296"/>
      <c r="V68" s="226"/>
    </row>
    <row r="69" spans="1:22" ht="14.4">
      <c r="A69" s="164"/>
      <c r="B69" s="294">
        <v>14</v>
      </c>
      <c r="C69" s="296" t="str">
        <f ca="1">IFERROR(__xludf.DUMMYFUNCTION("""COMPUTED_VALUE"""),"0")</f>
        <v>0</v>
      </c>
      <c r="D69" s="222" t="e">
        <f ca="1">COUNTIF('One year follow-up_Virtual'!#REF!,C69)</f>
        <v>#REF!</v>
      </c>
      <c r="E69" s="166"/>
      <c r="F69" s="296"/>
      <c r="G69" s="226"/>
      <c r="H69" s="98"/>
      <c r="I69" s="98"/>
      <c r="J69" s="294">
        <v>14</v>
      </c>
      <c r="K69" s="84" t="str">
        <f ca="1">IFERROR(__xludf.DUMMYFUNCTION("""COMPUTED_VALUE"""),"0")</f>
        <v>0</v>
      </c>
      <c r="L69" s="98" t="e">
        <f ca="1">COUNTIFS('One year follow-up_Virtual'!#REF!,K69,'One year follow-up_Virtual'!#REF!,"Yes")</f>
        <v>#REF!</v>
      </c>
      <c r="M69" s="166"/>
      <c r="N69" s="296"/>
      <c r="O69" s="226"/>
      <c r="P69" s="98"/>
      <c r="Q69" s="294">
        <v>14</v>
      </c>
      <c r="R69" s="84" t="str">
        <f ca="1">IFERROR(__xludf.DUMMYFUNCTION("""COMPUTED_VALUE"""),"0")</f>
        <v>0</v>
      </c>
      <c r="S69" s="98" t="e">
        <f ca="1">COUNTIFS('One year follow-up_Virtual'!#REF!,R69,'One year follow-up_Virtual'!#REF!,"No")</f>
        <v>#REF!</v>
      </c>
      <c r="T69" s="166"/>
      <c r="U69" s="296"/>
      <c r="V69" s="226"/>
    </row>
    <row r="70" spans="1:22" ht="14.4">
      <c r="A70" s="164"/>
      <c r="B70" s="294">
        <v>15</v>
      </c>
      <c r="C70" s="222" t="str">
        <f ca="1">IFERROR(__xludf.DUMMYFUNCTION("""COMPUTED_VALUE"""),"0")</f>
        <v>0</v>
      </c>
      <c r="D70" s="222" t="e">
        <f ca="1">COUNTIF('One year follow-up_Virtual'!#REF!,C70)</f>
        <v>#REF!</v>
      </c>
      <c r="E70" s="222"/>
      <c r="F70" s="222"/>
      <c r="G70" s="226"/>
      <c r="H70" s="98"/>
      <c r="I70" s="98"/>
      <c r="J70" s="294">
        <v>15</v>
      </c>
      <c r="K70" s="84" t="str">
        <f ca="1">IFERROR(__xludf.DUMMYFUNCTION("""COMPUTED_VALUE"""),"0")</f>
        <v>0</v>
      </c>
      <c r="L70" s="98" t="e">
        <f ca="1">COUNTIFS('One year follow-up_Virtual'!#REF!,K70,'One year follow-up_Virtual'!#REF!,"Yes")</f>
        <v>#REF!</v>
      </c>
      <c r="M70" s="222"/>
      <c r="N70" s="222"/>
      <c r="O70" s="226"/>
      <c r="P70" s="98"/>
      <c r="Q70" s="294">
        <v>15</v>
      </c>
      <c r="R70" s="84" t="str">
        <f ca="1">IFERROR(__xludf.DUMMYFUNCTION("""COMPUTED_VALUE"""),"0")</f>
        <v>0</v>
      </c>
      <c r="S70" s="98" t="e">
        <f ca="1">COUNTIFS('One year follow-up_Virtual'!#REF!,R70,'One year follow-up_Virtual'!#REF!,"No")</f>
        <v>#REF!</v>
      </c>
      <c r="T70" s="222"/>
      <c r="U70" s="222"/>
      <c r="V70" s="226"/>
    </row>
    <row r="71" spans="1:22" ht="14.4">
      <c r="A71" s="164"/>
      <c r="B71" s="294">
        <v>16</v>
      </c>
      <c r="C71" s="222"/>
      <c r="D71" s="167"/>
      <c r="E71" s="166"/>
      <c r="F71" s="166"/>
      <c r="G71" s="226"/>
      <c r="H71" s="98"/>
      <c r="I71" s="98"/>
      <c r="J71" s="294">
        <v>16</v>
      </c>
      <c r="K71" s="84"/>
      <c r="L71" s="82"/>
      <c r="M71" s="166"/>
      <c r="N71" s="166"/>
      <c r="O71" s="226"/>
      <c r="P71" s="98"/>
      <c r="Q71" s="294">
        <v>16</v>
      </c>
      <c r="R71" s="84"/>
      <c r="S71" s="98" t="e">
        <f>COUNTIFS('One year follow-up_Virtual'!#REF!,R71,'One year follow-up_Virtual'!#REF!,"No")</f>
        <v>#REF!</v>
      </c>
      <c r="T71" s="166"/>
      <c r="U71" s="166"/>
      <c r="V71" s="226"/>
    </row>
    <row r="72" spans="1:22" ht="14.4">
      <c r="A72" s="164"/>
      <c r="B72" s="294">
        <v>17</v>
      </c>
      <c r="C72" s="222"/>
      <c r="D72" s="167"/>
      <c r="E72" s="166"/>
      <c r="F72" s="166"/>
      <c r="G72" s="226"/>
      <c r="H72" s="121"/>
      <c r="I72" s="130"/>
      <c r="J72" s="294">
        <v>17</v>
      </c>
      <c r="K72" s="84"/>
      <c r="L72" s="82"/>
      <c r="M72" s="166"/>
      <c r="N72" s="166"/>
      <c r="O72" s="226"/>
      <c r="P72" s="98"/>
      <c r="Q72" s="294">
        <v>17</v>
      </c>
      <c r="R72" s="84"/>
      <c r="S72" s="98" t="e">
        <f>COUNTIFS('One year follow-up_Virtual'!#REF!,R72,'One year follow-up_Virtual'!#REF!,"No")</f>
        <v>#REF!</v>
      </c>
      <c r="T72" s="166"/>
      <c r="U72" s="166"/>
      <c r="V72" s="226"/>
    </row>
    <row r="73" spans="1:22" ht="15" thickBot="1">
      <c r="A73" s="164"/>
      <c r="B73" s="294">
        <v>18</v>
      </c>
      <c r="C73" s="222"/>
      <c r="D73" s="167"/>
      <c r="E73" s="166"/>
      <c r="F73" s="166"/>
      <c r="G73" s="226"/>
      <c r="H73" s="121"/>
      <c r="I73" s="130"/>
      <c r="J73" s="294">
        <v>18</v>
      </c>
      <c r="K73" s="84"/>
      <c r="L73" s="82"/>
      <c r="M73" s="166"/>
      <c r="N73" s="166"/>
      <c r="O73" s="226"/>
      <c r="P73" s="98"/>
      <c r="Q73" s="294">
        <v>18</v>
      </c>
      <c r="R73" s="84"/>
      <c r="S73" s="98" t="e">
        <f>COUNTIFS('One year follow-up_Virtual'!#REF!,R73,'One year follow-up_Virtual'!#REF!,"No")</f>
        <v>#REF!</v>
      </c>
      <c r="T73" s="166"/>
      <c r="U73" s="166"/>
      <c r="V73" s="226"/>
    </row>
    <row r="74" spans="1:22" ht="15" thickBot="1">
      <c r="A74" s="165"/>
      <c r="B74" s="295" t="s">
        <v>62</v>
      </c>
      <c r="C74" s="297"/>
      <c r="D74" s="298" t="e">
        <f ca="1">SUM(D56:D73)</f>
        <v>#REF!</v>
      </c>
      <c r="E74" s="299">
        <f t="shared" ref="E74:G74" ca="1" si="5">SUMIF(E56:E73, "Yes", $D$56:$D$73)</f>
        <v>0</v>
      </c>
      <c r="F74" s="299">
        <f t="shared" si="5"/>
        <v>0</v>
      </c>
      <c r="G74" s="300">
        <f t="shared" ca="1" si="5"/>
        <v>0</v>
      </c>
      <c r="H74" s="140"/>
      <c r="I74" s="140"/>
      <c r="J74" s="295" t="s">
        <v>62</v>
      </c>
      <c r="K74" s="297"/>
      <c r="L74" s="298" t="e">
        <f ca="1">SUM(L56:L73)</f>
        <v>#REF!</v>
      </c>
      <c r="M74" s="299">
        <f t="shared" ref="M74:O74" si="6">SUMIF(M56:M73, "Yes", $L$56:$L$73)</f>
        <v>0</v>
      </c>
      <c r="N74" s="299">
        <f t="shared" si="6"/>
        <v>0</v>
      </c>
      <c r="O74" s="300">
        <f t="shared" si="6"/>
        <v>0</v>
      </c>
      <c r="P74" s="140"/>
      <c r="Q74" s="295" t="s">
        <v>62</v>
      </c>
      <c r="R74" s="297"/>
      <c r="S74" s="298" t="e">
        <f ca="1">SUM(S56:S73)</f>
        <v>#REF!</v>
      </c>
      <c r="T74" s="299">
        <f>SUMIF(T56:T73, "Yes", $L$56:$L$73)</f>
        <v>0</v>
      </c>
      <c r="U74" s="299">
        <f t="shared" ref="U74:V74" si="7">SUMIF(U56:U73, "Yes", $L$56:$L$73)</f>
        <v>0</v>
      </c>
      <c r="V74" s="300">
        <f t="shared" si="7"/>
        <v>0</v>
      </c>
    </row>
    <row r="75" spans="1:22" ht="14.4">
      <c r="J75" s="138"/>
      <c r="K75" s="138"/>
      <c r="L75" s="141"/>
      <c r="M75" s="142"/>
      <c r="N75" s="142"/>
    </row>
    <row r="76" spans="1:22" ht="14.4">
      <c r="G76" s="130"/>
      <c r="H76" s="130"/>
      <c r="I76" s="130"/>
      <c r="J76" s="98"/>
      <c r="K76" s="98"/>
      <c r="L76" s="98"/>
    </row>
    <row r="77" spans="1:22" ht="14.4">
      <c r="J77" s="98"/>
      <c r="K77" s="98"/>
      <c r="L77" s="98"/>
    </row>
    <row r="78" spans="1:22" ht="14.4">
      <c r="J78" s="98"/>
      <c r="K78" s="98"/>
      <c r="L78" s="98"/>
    </row>
    <row r="79" spans="1:22" ht="14.4">
      <c r="J79" s="98"/>
      <c r="K79" s="98"/>
      <c r="L79" s="98"/>
    </row>
    <row r="80" spans="1:22" ht="14.4">
      <c r="J80" s="98"/>
      <c r="K80" s="98"/>
      <c r="L80" s="98"/>
    </row>
    <row r="81" spans="10:12" ht="14.4">
      <c r="J81" s="98"/>
      <c r="K81" s="98"/>
      <c r="L81" s="98"/>
    </row>
    <row r="82" spans="10:12" ht="14.4">
      <c r="J82" s="98"/>
      <c r="K82" s="98"/>
      <c r="L82" s="98"/>
    </row>
    <row r="83" spans="10:12" ht="14.4">
      <c r="J83" s="98"/>
      <c r="K83" s="98"/>
      <c r="L83" s="98"/>
    </row>
    <row r="84" spans="10:12" ht="14.4">
      <c r="J84" s="98"/>
      <c r="K84" s="98"/>
      <c r="L84" s="98"/>
    </row>
    <row r="85" spans="10:12" ht="14.4">
      <c r="J85" s="98"/>
      <c r="K85" s="98"/>
      <c r="L85" s="98"/>
    </row>
    <row r="86" spans="10:12" ht="14.4">
      <c r="J86" s="98"/>
      <c r="K86" s="98"/>
      <c r="L86" s="98"/>
    </row>
    <row r="87" spans="10:12" ht="14.4">
      <c r="J87" s="98"/>
      <c r="K87" s="98"/>
      <c r="L87" s="98"/>
    </row>
    <row r="88" spans="10:12" ht="14.4">
      <c r="J88" s="98"/>
      <c r="K88" s="98"/>
      <c r="L88" s="98"/>
    </row>
    <row r="89" spans="10:12" ht="14.4">
      <c r="J89" s="98"/>
      <c r="K89" s="98"/>
      <c r="L89" s="98"/>
    </row>
    <row r="90" spans="10:12" ht="14.4">
      <c r="J90" s="98"/>
      <c r="K90" s="98"/>
      <c r="L90" s="98"/>
    </row>
    <row r="91" spans="10:12" ht="14.4">
      <c r="J91" s="98"/>
      <c r="K91" s="98"/>
      <c r="L91" s="98"/>
    </row>
    <row r="92" spans="10:12" ht="14.4">
      <c r="J92" s="98"/>
      <c r="K92" s="98"/>
      <c r="L92" s="98"/>
    </row>
    <row r="93" spans="10:12" ht="14.4">
      <c r="J93" s="98"/>
      <c r="K93" s="98"/>
      <c r="L93" s="98"/>
    </row>
    <row r="94" spans="10:12" ht="14.4">
      <c r="J94" s="98"/>
      <c r="K94" s="98"/>
      <c r="L94" s="98"/>
    </row>
    <row r="95" spans="10:12" ht="14.4">
      <c r="J95" s="98"/>
      <c r="K95" s="98"/>
      <c r="L95" s="98"/>
    </row>
    <row r="96" spans="10:12" ht="14.4">
      <c r="J96" s="98"/>
      <c r="K96" s="98"/>
      <c r="L96" s="98"/>
    </row>
    <row r="97" spans="10:12" ht="14.4">
      <c r="J97" s="98"/>
      <c r="K97" s="98"/>
      <c r="L97" s="98"/>
    </row>
    <row r="98" spans="10:12" ht="14.4">
      <c r="J98" s="98"/>
      <c r="K98" s="98"/>
      <c r="L98" s="98"/>
    </row>
    <row r="99" spans="10:12" ht="14.4">
      <c r="J99" s="98"/>
      <c r="K99" s="98"/>
      <c r="L99" s="98"/>
    </row>
    <row r="100" spans="10:12" ht="14.4">
      <c r="J100" s="98"/>
      <c r="K100" s="98"/>
      <c r="L100" s="98"/>
    </row>
    <row r="101" spans="10:12" ht="14.4">
      <c r="J101" s="98"/>
      <c r="K101" s="98"/>
      <c r="L101" s="98"/>
    </row>
    <row r="102" spans="10:12" ht="14.4">
      <c r="J102" s="98"/>
      <c r="K102" s="98"/>
      <c r="L102" s="98"/>
    </row>
    <row r="103" spans="10:12" ht="14.4">
      <c r="J103" s="98"/>
      <c r="K103" s="98"/>
      <c r="L103" s="98"/>
    </row>
    <row r="104" spans="10:12" ht="14.4">
      <c r="J104" s="98"/>
      <c r="K104" s="98"/>
      <c r="L104" s="98"/>
    </row>
    <row r="105" spans="10:12" ht="14.4">
      <c r="J105" s="98"/>
      <c r="K105" s="98"/>
      <c r="L105" s="98"/>
    </row>
    <row r="106" spans="10:12" ht="14.4">
      <c r="J106" s="98"/>
      <c r="K106" s="98"/>
      <c r="L106" s="98"/>
    </row>
    <row r="107" spans="10:12" ht="14.4">
      <c r="J107" s="98"/>
      <c r="K107" s="98"/>
      <c r="L107" s="98"/>
    </row>
    <row r="108" spans="10:12" ht="14.4">
      <c r="J108" s="98"/>
      <c r="K108" s="98"/>
      <c r="L108" s="98"/>
    </row>
    <row r="109" spans="10:12" ht="14.4">
      <c r="J109" s="98"/>
      <c r="K109" s="98"/>
      <c r="L109" s="98"/>
    </row>
    <row r="110" spans="10:12" ht="14.4">
      <c r="J110" s="98"/>
      <c r="K110" s="98"/>
      <c r="L110" s="98"/>
    </row>
    <row r="111" spans="10:12" ht="14.4">
      <c r="J111" s="98"/>
      <c r="K111" s="98"/>
      <c r="L111" s="98"/>
    </row>
    <row r="112" spans="10:12" ht="14.4">
      <c r="J112" s="98"/>
      <c r="K112" s="98"/>
      <c r="L112" s="98"/>
    </row>
    <row r="113" spans="10:12" ht="14.4">
      <c r="J113" s="98"/>
      <c r="K113" s="98"/>
      <c r="L113" s="98"/>
    </row>
    <row r="114" spans="10:12" ht="14.4">
      <c r="J114" s="98"/>
      <c r="K114" s="98"/>
      <c r="L114" s="98"/>
    </row>
    <row r="115" spans="10:12" ht="14.4">
      <c r="J115" s="98"/>
      <c r="K115" s="98"/>
      <c r="L115" s="98"/>
    </row>
    <row r="116" spans="10:12" ht="14.4">
      <c r="J116" s="98"/>
      <c r="K116" s="98"/>
      <c r="L116" s="98"/>
    </row>
    <row r="117" spans="10:12" ht="14.4">
      <c r="J117" s="98"/>
      <c r="K117" s="98"/>
      <c r="L117" s="98"/>
    </row>
    <row r="118" spans="10:12" ht="14.4">
      <c r="J118" s="98"/>
      <c r="K118" s="98"/>
      <c r="L118" s="98"/>
    </row>
    <row r="119" spans="10:12" ht="14.4">
      <c r="J119" s="98"/>
      <c r="K119" s="98"/>
      <c r="L119" s="98"/>
    </row>
    <row r="120" spans="10:12" ht="14.4">
      <c r="J120" s="98"/>
      <c r="K120" s="98"/>
      <c r="L120" s="98"/>
    </row>
    <row r="121" spans="10:12" ht="14.4">
      <c r="J121" s="98"/>
      <c r="K121" s="98"/>
      <c r="L121" s="98"/>
    </row>
    <row r="122" spans="10:12" ht="14.4">
      <c r="J122" s="98"/>
      <c r="K122" s="98"/>
      <c r="L122" s="98"/>
    </row>
    <row r="123" spans="10:12" ht="14.4">
      <c r="J123" s="98"/>
      <c r="K123" s="98"/>
      <c r="L123" s="98"/>
    </row>
    <row r="124" spans="10:12" ht="14.4">
      <c r="J124" s="98"/>
      <c r="K124" s="98"/>
      <c r="L124" s="98"/>
    </row>
    <row r="125" spans="10:12" ht="14.4">
      <c r="J125" s="98"/>
      <c r="K125" s="98"/>
      <c r="L125" s="98"/>
    </row>
    <row r="126" spans="10:12" ht="14.4">
      <c r="J126" s="98"/>
      <c r="K126" s="98"/>
      <c r="L126" s="98"/>
    </row>
    <row r="127" spans="10:12" ht="14.4">
      <c r="J127" s="98"/>
      <c r="K127" s="98"/>
      <c r="L127" s="98"/>
    </row>
    <row r="128" spans="10:12" ht="14.4">
      <c r="J128" s="98"/>
      <c r="K128" s="98"/>
      <c r="L128" s="98"/>
    </row>
    <row r="129" spans="10:12" ht="14.4">
      <c r="J129" s="98"/>
      <c r="K129" s="98"/>
      <c r="L129" s="98"/>
    </row>
    <row r="130" spans="10:12" ht="14.4">
      <c r="J130" s="98"/>
      <c r="K130" s="98"/>
      <c r="L130" s="98"/>
    </row>
    <row r="131" spans="10:12" ht="14.4">
      <c r="J131" s="98"/>
      <c r="K131" s="98"/>
      <c r="L131" s="98"/>
    </row>
    <row r="132" spans="10:12" ht="14.4">
      <c r="J132" s="98"/>
      <c r="K132" s="98"/>
      <c r="L132" s="98"/>
    </row>
    <row r="133" spans="10:12" ht="14.4">
      <c r="J133" s="98"/>
      <c r="K133" s="98"/>
      <c r="L133" s="98"/>
    </row>
    <row r="134" spans="10:12" ht="14.4">
      <c r="J134" s="98"/>
      <c r="K134" s="98"/>
      <c r="L134" s="98"/>
    </row>
    <row r="135" spans="10:12" ht="14.4">
      <c r="J135" s="98"/>
      <c r="K135" s="98"/>
      <c r="L135" s="98"/>
    </row>
    <row r="136" spans="10:12" ht="14.4">
      <c r="J136" s="98"/>
      <c r="K136" s="98"/>
      <c r="L136" s="98"/>
    </row>
    <row r="137" spans="10:12" ht="14.4">
      <c r="J137" s="98"/>
      <c r="K137" s="98"/>
      <c r="L137" s="98"/>
    </row>
    <row r="138" spans="10:12" ht="14.4">
      <c r="J138" s="98"/>
      <c r="K138" s="98"/>
      <c r="L138" s="98"/>
    </row>
    <row r="139" spans="10:12" ht="14.4">
      <c r="J139" s="98"/>
      <c r="K139" s="98"/>
      <c r="L139" s="98"/>
    </row>
    <row r="140" spans="10:12" ht="14.4">
      <c r="J140" s="98"/>
      <c r="K140" s="98"/>
      <c r="L140" s="98"/>
    </row>
    <row r="141" spans="10:12" ht="14.4">
      <c r="J141" s="98"/>
      <c r="K141" s="98"/>
      <c r="L141" s="98"/>
    </row>
    <row r="142" spans="10:12" ht="14.4">
      <c r="J142" s="98"/>
      <c r="K142" s="98"/>
      <c r="L142" s="98"/>
    </row>
    <row r="143" spans="10:12" ht="14.4">
      <c r="J143" s="98"/>
      <c r="K143" s="98"/>
      <c r="L143" s="98"/>
    </row>
    <row r="144" spans="10:12" ht="14.4">
      <c r="J144" s="98"/>
      <c r="K144" s="98"/>
      <c r="L144" s="98"/>
    </row>
    <row r="145" spans="10:12" ht="14.4">
      <c r="J145" s="98"/>
      <c r="K145" s="98"/>
      <c r="L145" s="98"/>
    </row>
    <row r="146" spans="10:12" ht="14.4">
      <c r="J146" s="98"/>
      <c r="K146" s="98"/>
      <c r="L146" s="98"/>
    </row>
    <row r="147" spans="10:12" ht="14.4">
      <c r="J147" s="98"/>
      <c r="K147" s="98"/>
      <c r="L147" s="98"/>
    </row>
    <row r="148" spans="10:12" ht="14.4">
      <c r="J148" s="98"/>
      <c r="K148" s="98"/>
      <c r="L148" s="98"/>
    </row>
    <row r="149" spans="10:12" ht="14.4">
      <c r="J149" s="98"/>
      <c r="K149" s="98"/>
      <c r="L149" s="98"/>
    </row>
    <row r="150" spans="10:12" ht="14.4">
      <c r="J150" s="98"/>
      <c r="K150" s="98"/>
      <c r="L150" s="98"/>
    </row>
    <row r="151" spans="10:12" ht="14.4">
      <c r="J151" s="98"/>
      <c r="K151" s="98"/>
      <c r="L151" s="98"/>
    </row>
    <row r="152" spans="10:12" ht="14.4">
      <c r="J152" s="98"/>
      <c r="K152" s="98"/>
      <c r="L152" s="98"/>
    </row>
    <row r="153" spans="10:12" ht="14.4">
      <c r="J153" s="98"/>
      <c r="K153" s="98"/>
      <c r="L153" s="98"/>
    </row>
    <row r="154" spans="10:12" ht="14.4">
      <c r="J154" s="98"/>
      <c r="K154" s="98"/>
      <c r="L154" s="98"/>
    </row>
    <row r="155" spans="10:12" ht="14.4">
      <c r="J155" s="98"/>
      <c r="K155" s="98"/>
      <c r="L155" s="98"/>
    </row>
    <row r="156" spans="10:12" ht="14.4">
      <c r="J156" s="98"/>
      <c r="K156" s="98"/>
      <c r="L156" s="98"/>
    </row>
    <row r="157" spans="10:12" ht="14.4">
      <c r="J157" s="98"/>
      <c r="K157" s="98"/>
      <c r="L157" s="98"/>
    </row>
    <row r="158" spans="10:12" ht="14.4">
      <c r="J158" s="98"/>
      <c r="K158" s="98"/>
      <c r="L158" s="98"/>
    </row>
    <row r="159" spans="10:12" ht="14.4">
      <c r="J159" s="98"/>
      <c r="K159" s="98"/>
      <c r="L159" s="98"/>
    </row>
    <row r="160" spans="10:12" ht="14.4">
      <c r="J160" s="98"/>
      <c r="K160" s="98"/>
      <c r="L160" s="98"/>
    </row>
    <row r="161" spans="10:12" ht="14.4">
      <c r="J161" s="98"/>
      <c r="K161" s="98"/>
      <c r="L161" s="98"/>
    </row>
    <row r="162" spans="10:12" ht="14.4">
      <c r="J162" s="98"/>
      <c r="K162" s="98"/>
      <c r="L162" s="98"/>
    </row>
    <row r="163" spans="10:12" ht="14.4">
      <c r="J163" s="98"/>
      <c r="K163" s="98"/>
      <c r="L163" s="98"/>
    </row>
    <row r="164" spans="10:12" ht="14.4">
      <c r="J164" s="98"/>
      <c r="K164" s="98"/>
      <c r="L164" s="98"/>
    </row>
    <row r="165" spans="10:12" ht="14.4">
      <c r="J165" s="98"/>
      <c r="K165" s="98"/>
      <c r="L165" s="98"/>
    </row>
    <row r="166" spans="10:12" ht="14.4">
      <c r="J166" s="98"/>
      <c r="K166" s="98"/>
      <c r="L166" s="98"/>
    </row>
    <row r="167" spans="10:12" ht="14.4">
      <c r="J167" s="98"/>
      <c r="K167" s="98"/>
      <c r="L167" s="98"/>
    </row>
    <row r="168" spans="10:12" ht="14.4">
      <c r="J168" s="98"/>
      <c r="K168" s="98"/>
      <c r="L168" s="98"/>
    </row>
    <row r="169" spans="10:12" ht="14.4">
      <c r="J169" s="98"/>
      <c r="K169" s="98"/>
      <c r="L169" s="98"/>
    </row>
    <row r="170" spans="10:12" ht="14.4">
      <c r="J170" s="98"/>
      <c r="K170" s="98"/>
      <c r="L170" s="98"/>
    </row>
    <row r="171" spans="10:12" ht="14.4">
      <c r="J171" s="98"/>
      <c r="K171" s="98"/>
      <c r="L171" s="98"/>
    </row>
    <row r="172" spans="10:12" ht="14.4">
      <c r="J172" s="98"/>
      <c r="K172" s="98"/>
      <c r="L172" s="98"/>
    </row>
    <row r="173" spans="10:12" ht="14.4">
      <c r="J173" s="98"/>
      <c r="K173" s="98"/>
      <c r="L173" s="98"/>
    </row>
    <row r="174" spans="10:12" ht="14.4">
      <c r="J174" s="98"/>
      <c r="K174" s="98"/>
      <c r="L174" s="98"/>
    </row>
    <row r="175" spans="10:12" ht="14.4">
      <c r="J175" s="98"/>
      <c r="K175" s="98"/>
      <c r="L175" s="98"/>
    </row>
    <row r="176" spans="10:12" ht="14.4">
      <c r="J176" s="98"/>
      <c r="K176" s="98"/>
      <c r="L176" s="98"/>
    </row>
    <row r="177" spans="10:12" ht="14.4">
      <c r="J177" s="98"/>
      <c r="K177" s="98"/>
      <c r="L177" s="98"/>
    </row>
    <row r="178" spans="10:12" ht="14.4">
      <c r="J178" s="98"/>
      <c r="K178" s="98"/>
      <c r="L178" s="98"/>
    </row>
    <row r="179" spans="10:12" ht="14.4">
      <c r="J179" s="98"/>
      <c r="K179" s="98"/>
      <c r="L179" s="98"/>
    </row>
    <row r="180" spans="10:12" ht="14.4">
      <c r="J180" s="98"/>
      <c r="K180" s="98"/>
      <c r="L180" s="98"/>
    </row>
    <row r="181" spans="10:12" ht="14.4">
      <c r="J181" s="98"/>
      <c r="K181" s="98"/>
      <c r="L181" s="98"/>
    </row>
    <row r="182" spans="10:12" ht="14.4">
      <c r="J182" s="98"/>
      <c r="K182" s="98"/>
      <c r="L182" s="98"/>
    </row>
    <row r="183" spans="10:12" ht="14.4">
      <c r="J183" s="98"/>
      <c r="K183" s="98"/>
      <c r="L183" s="98"/>
    </row>
    <row r="184" spans="10:12" ht="14.4">
      <c r="J184" s="98"/>
      <c r="K184" s="98"/>
      <c r="L184" s="98"/>
    </row>
    <row r="185" spans="10:12" ht="14.4">
      <c r="J185" s="98"/>
      <c r="K185" s="98"/>
      <c r="L185" s="98"/>
    </row>
    <row r="186" spans="10:12" ht="14.4">
      <c r="J186" s="98"/>
      <c r="K186" s="98"/>
      <c r="L186" s="98"/>
    </row>
    <row r="187" spans="10:12" ht="14.4">
      <c r="J187" s="98"/>
      <c r="K187" s="98"/>
      <c r="L187" s="98"/>
    </row>
    <row r="188" spans="10:12" ht="14.4">
      <c r="J188" s="98"/>
      <c r="K188" s="98"/>
      <c r="L188" s="98"/>
    </row>
    <row r="189" spans="10:12" ht="14.4">
      <c r="J189" s="98"/>
      <c r="K189" s="98"/>
      <c r="L189" s="98"/>
    </row>
    <row r="190" spans="10:12" ht="14.4">
      <c r="J190" s="98"/>
      <c r="K190" s="98"/>
      <c r="L190" s="98"/>
    </row>
    <row r="191" spans="10:12" ht="14.4">
      <c r="J191" s="98"/>
      <c r="K191" s="98"/>
      <c r="L191" s="98"/>
    </row>
    <row r="192" spans="10:12" ht="14.4">
      <c r="J192" s="98"/>
      <c r="K192" s="98"/>
      <c r="L192" s="98"/>
    </row>
    <row r="193" spans="10:12" ht="14.4">
      <c r="J193" s="98"/>
      <c r="K193" s="98"/>
      <c r="L193" s="98"/>
    </row>
    <row r="194" spans="10:12" ht="14.4">
      <c r="J194" s="98"/>
      <c r="K194" s="98"/>
      <c r="L194" s="98"/>
    </row>
    <row r="195" spans="10:12" ht="14.4">
      <c r="J195" s="98"/>
      <c r="K195" s="98"/>
      <c r="L195" s="98"/>
    </row>
    <row r="196" spans="10:12" ht="14.4">
      <c r="J196" s="98"/>
      <c r="K196" s="98"/>
      <c r="L196" s="98"/>
    </row>
    <row r="197" spans="10:12" ht="14.4">
      <c r="J197" s="98"/>
      <c r="K197" s="98"/>
      <c r="L197" s="98"/>
    </row>
    <row r="198" spans="10:12" ht="14.4">
      <c r="J198" s="98"/>
      <c r="K198" s="98"/>
      <c r="L198" s="98"/>
    </row>
    <row r="199" spans="10:12" ht="14.4">
      <c r="J199" s="98"/>
      <c r="K199" s="98"/>
      <c r="L199" s="98"/>
    </row>
    <row r="200" spans="10:12" ht="14.4">
      <c r="J200" s="98"/>
      <c r="K200" s="98"/>
      <c r="L200" s="98"/>
    </row>
    <row r="201" spans="10:12" ht="14.4">
      <c r="J201" s="98"/>
      <c r="K201" s="98"/>
      <c r="L201" s="98"/>
    </row>
    <row r="202" spans="10:12" ht="14.4">
      <c r="J202" s="98"/>
      <c r="K202" s="98"/>
      <c r="L202" s="98"/>
    </row>
    <row r="203" spans="10:12" ht="14.4">
      <c r="J203" s="98"/>
      <c r="K203" s="98"/>
      <c r="L203" s="98"/>
    </row>
    <row r="204" spans="10:12" ht="14.4">
      <c r="J204" s="98"/>
      <c r="K204" s="98"/>
      <c r="L204" s="98"/>
    </row>
    <row r="205" spans="10:12" ht="14.4">
      <c r="J205" s="98"/>
      <c r="K205" s="98"/>
      <c r="L205" s="98"/>
    </row>
    <row r="206" spans="10:12" ht="14.4">
      <c r="J206" s="98"/>
      <c r="K206" s="98"/>
      <c r="L206" s="98"/>
    </row>
    <row r="207" spans="10:12" ht="14.4">
      <c r="J207" s="98"/>
      <c r="K207" s="98"/>
      <c r="L207" s="98"/>
    </row>
    <row r="208" spans="10:12" ht="14.4">
      <c r="J208" s="98"/>
      <c r="K208" s="98"/>
      <c r="L208" s="98"/>
    </row>
    <row r="209" spans="10:12" ht="14.4">
      <c r="J209" s="98"/>
      <c r="K209" s="98"/>
      <c r="L209" s="98"/>
    </row>
    <row r="210" spans="10:12" ht="14.4">
      <c r="J210" s="98"/>
      <c r="K210" s="98"/>
      <c r="L210" s="98"/>
    </row>
    <row r="211" spans="10:12" ht="14.4">
      <c r="J211" s="98"/>
      <c r="K211" s="98"/>
      <c r="L211" s="98"/>
    </row>
    <row r="212" spans="10:12" ht="14.4">
      <c r="J212" s="98"/>
      <c r="K212" s="98"/>
      <c r="L212" s="98"/>
    </row>
    <row r="213" spans="10:12" ht="14.4">
      <c r="J213" s="98"/>
      <c r="K213" s="98"/>
      <c r="L213" s="98"/>
    </row>
    <row r="214" spans="10:12" ht="14.4">
      <c r="J214" s="98"/>
      <c r="K214" s="98"/>
      <c r="L214" s="98"/>
    </row>
    <row r="215" spans="10:12" ht="14.4">
      <c r="J215" s="98"/>
      <c r="K215" s="98"/>
      <c r="L215" s="98"/>
    </row>
    <row r="216" spans="10:12" ht="14.4">
      <c r="J216" s="98"/>
      <c r="K216" s="98"/>
      <c r="L216" s="98"/>
    </row>
    <row r="217" spans="10:12" ht="14.4">
      <c r="J217" s="98"/>
      <c r="K217" s="98"/>
      <c r="L217" s="98"/>
    </row>
    <row r="218" spans="10:12" ht="14.4">
      <c r="J218" s="98"/>
      <c r="K218" s="98"/>
      <c r="L218" s="98"/>
    </row>
    <row r="219" spans="10:12" ht="14.4">
      <c r="J219" s="98"/>
      <c r="K219" s="98"/>
      <c r="L219" s="98"/>
    </row>
    <row r="220" spans="10:12" ht="14.4">
      <c r="J220" s="98"/>
      <c r="K220" s="98"/>
      <c r="L220" s="98"/>
    </row>
    <row r="221" spans="10:12" ht="14.4">
      <c r="J221" s="98"/>
      <c r="K221" s="98"/>
      <c r="L221" s="98"/>
    </row>
    <row r="222" spans="10:12" ht="14.4">
      <c r="J222" s="98"/>
      <c r="K222" s="98"/>
      <c r="L222" s="98"/>
    </row>
    <row r="223" spans="10:12" ht="14.4">
      <c r="J223" s="98"/>
      <c r="K223" s="98"/>
      <c r="L223" s="98"/>
    </row>
    <row r="224" spans="10:12" ht="14.4">
      <c r="J224" s="98"/>
      <c r="K224" s="98"/>
      <c r="L224" s="98"/>
    </row>
    <row r="225" spans="10:12" ht="14.4">
      <c r="J225" s="98"/>
      <c r="K225" s="98"/>
      <c r="L225" s="98"/>
    </row>
    <row r="226" spans="10:12" ht="14.4">
      <c r="J226" s="98"/>
      <c r="K226" s="98"/>
      <c r="L226" s="98"/>
    </row>
    <row r="227" spans="10:12" ht="14.4">
      <c r="J227" s="98"/>
      <c r="K227" s="98"/>
      <c r="L227" s="98"/>
    </row>
    <row r="228" spans="10:12" ht="14.4">
      <c r="J228" s="98"/>
      <c r="K228" s="98"/>
      <c r="L228" s="98"/>
    </row>
    <row r="229" spans="10:12" ht="14.4">
      <c r="J229" s="98"/>
      <c r="K229" s="98"/>
      <c r="L229" s="98"/>
    </row>
    <row r="230" spans="10:12" ht="14.4">
      <c r="J230" s="98"/>
      <c r="K230" s="98"/>
      <c r="L230" s="98"/>
    </row>
    <row r="231" spans="10:12" ht="14.4">
      <c r="J231" s="98"/>
      <c r="K231" s="98"/>
      <c r="L231" s="98"/>
    </row>
    <row r="232" spans="10:12" ht="14.4">
      <c r="J232" s="98"/>
      <c r="K232" s="98"/>
      <c r="L232" s="98"/>
    </row>
    <row r="233" spans="10:12" ht="14.4">
      <c r="J233" s="98"/>
      <c r="K233" s="98"/>
      <c r="L233" s="98"/>
    </row>
    <row r="234" spans="10:12" ht="14.4">
      <c r="J234" s="98"/>
      <c r="K234" s="98"/>
      <c r="L234" s="98"/>
    </row>
    <row r="235" spans="10:12" ht="14.4">
      <c r="J235" s="98"/>
      <c r="K235" s="98"/>
      <c r="L235" s="98"/>
    </row>
    <row r="236" spans="10:12" ht="14.4">
      <c r="J236" s="98"/>
      <c r="K236" s="98"/>
      <c r="L236" s="98"/>
    </row>
    <row r="237" spans="10:12" ht="14.4">
      <c r="J237" s="98"/>
      <c r="K237" s="98"/>
      <c r="L237" s="98"/>
    </row>
    <row r="238" spans="10:12" ht="14.4">
      <c r="J238" s="98"/>
      <c r="K238" s="98"/>
      <c r="L238" s="98"/>
    </row>
    <row r="239" spans="10:12" ht="14.4">
      <c r="J239" s="98"/>
      <c r="K239" s="98"/>
      <c r="L239" s="98"/>
    </row>
    <row r="240" spans="10:12" ht="14.4">
      <c r="J240" s="98"/>
      <c r="K240" s="98"/>
      <c r="L240" s="98"/>
    </row>
    <row r="241" spans="10:12" ht="14.4">
      <c r="J241" s="98"/>
      <c r="K241" s="98"/>
      <c r="L241" s="98"/>
    </row>
    <row r="242" spans="10:12" ht="14.4">
      <c r="J242" s="98"/>
      <c r="K242" s="98"/>
      <c r="L242" s="98"/>
    </row>
    <row r="243" spans="10:12" ht="14.4">
      <c r="J243" s="98"/>
      <c r="K243" s="98"/>
      <c r="L243" s="98"/>
    </row>
    <row r="244" spans="10:12" ht="14.4">
      <c r="J244" s="98"/>
      <c r="K244" s="98"/>
      <c r="L244" s="98"/>
    </row>
    <row r="245" spans="10:12" ht="14.4">
      <c r="J245" s="98"/>
      <c r="K245" s="98"/>
      <c r="L245" s="98"/>
    </row>
    <row r="246" spans="10:12" ht="14.4">
      <c r="J246" s="98"/>
      <c r="K246" s="98"/>
      <c r="L246" s="98"/>
    </row>
    <row r="247" spans="10:12" ht="14.4">
      <c r="J247" s="98"/>
      <c r="K247" s="98"/>
      <c r="L247" s="98"/>
    </row>
    <row r="248" spans="10:12" ht="14.4">
      <c r="J248" s="98"/>
      <c r="K248" s="98"/>
      <c r="L248" s="98"/>
    </row>
    <row r="249" spans="10:12" ht="14.4">
      <c r="J249" s="98"/>
      <c r="K249" s="98"/>
      <c r="L249" s="98"/>
    </row>
    <row r="250" spans="10:12" ht="14.4">
      <c r="J250" s="98"/>
      <c r="K250" s="98"/>
      <c r="L250" s="98"/>
    </row>
    <row r="251" spans="10:12" ht="14.4">
      <c r="J251" s="98"/>
      <c r="K251" s="98"/>
      <c r="L251" s="98"/>
    </row>
    <row r="252" spans="10:12" ht="14.4">
      <c r="J252" s="98"/>
      <c r="K252" s="98"/>
      <c r="L252" s="98"/>
    </row>
    <row r="253" spans="10:12" ht="14.4">
      <c r="J253" s="98"/>
      <c r="K253" s="98"/>
      <c r="L253" s="98"/>
    </row>
    <row r="254" spans="10:12" ht="14.4">
      <c r="J254" s="98"/>
      <c r="K254" s="98"/>
      <c r="L254" s="98"/>
    </row>
    <row r="255" spans="10:12" ht="14.4">
      <c r="J255" s="98"/>
      <c r="K255" s="98"/>
      <c r="L255" s="98"/>
    </row>
    <row r="256" spans="10:12" ht="14.4">
      <c r="J256" s="98"/>
      <c r="K256" s="98"/>
      <c r="L256" s="98"/>
    </row>
    <row r="257" spans="10:12" ht="14.4">
      <c r="J257" s="98"/>
      <c r="K257" s="98"/>
      <c r="L257" s="98"/>
    </row>
    <row r="258" spans="10:12" ht="14.4">
      <c r="J258" s="98"/>
      <c r="K258" s="98"/>
      <c r="L258" s="98"/>
    </row>
    <row r="259" spans="10:12" ht="14.4">
      <c r="J259" s="98"/>
      <c r="K259" s="98"/>
      <c r="L259" s="98"/>
    </row>
    <row r="260" spans="10:12" ht="14.4">
      <c r="J260" s="98"/>
      <c r="K260" s="98"/>
      <c r="L260" s="98"/>
    </row>
    <row r="261" spans="10:12" ht="14.4">
      <c r="J261" s="98"/>
      <c r="K261" s="98"/>
      <c r="L261" s="98"/>
    </row>
    <row r="262" spans="10:12" ht="14.4">
      <c r="J262" s="98"/>
      <c r="K262" s="98"/>
      <c r="L262" s="98"/>
    </row>
    <row r="263" spans="10:12" ht="14.4">
      <c r="J263" s="98"/>
      <c r="K263" s="98"/>
      <c r="L263" s="98"/>
    </row>
    <row r="264" spans="10:12" ht="14.4">
      <c r="J264" s="98"/>
      <c r="K264" s="98"/>
      <c r="L264" s="98"/>
    </row>
    <row r="265" spans="10:12" ht="14.4">
      <c r="J265" s="98"/>
      <c r="K265" s="98"/>
      <c r="L265" s="98"/>
    </row>
    <row r="266" spans="10:12" ht="14.4">
      <c r="J266" s="98"/>
      <c r="K266" s="98"/>
      <c r="L266" s="98"/>
    </row>
    <row r="267" spans="10:12" ht="14.4">
      <c r="J267" s="98"/>
      <c r="K267" s="98"/>
      <c r="L267" s="98"/>
    </row>
    <row r="268" spans="10:12" ht="14.4">
      <c r="J268" s="98"/>
      <c r="K268" s="98"/>
      <c r="L268" s="98"/>
    </row>
    <row r="269" spans="10:12" ht="14.4">
      <c r="J269" s="98"/>
      <c r="K269" s="98"/>
      <c r="L269" s="98"/>
    </row>
    <row r="270" spans="10:12" ht="14.4">
      <c r="J270" s="98"/>
      <c r="K270" s="98"/>
      <c r="L270" s="98"/>
    </row>
    <row r="271" spans="10:12" ht="14.4">
      <c r="J271" s="98"/>
      <c r="K271" s="98"/>
      <c r="L271" s="98"/>
    </row>
    <row r="272" spans="10:12" ht="14.4">
      <c r="J272" s="98"/>
      <c r="K272" s="98"/>
      <c r="L272" s="98"/>
    </row>
    <row r="273" spans="10:12" ht="14.4">
      <c r="J273" s="98"/>
      <c r="K273" s="98"/>
      <c r="L273" s="98"/>
    </row>
    <row r="274" spans="10:12" ht="14.4">
      <c r="J274" s="98"/>
      <c r="K274" s="98"/>
      <c r="L274" s="98"/>
    </row>
    <row r="275" spans="10:12" ht="14.4">
      <c r="J275" s="98"/>
      <c r="K275" s="98"/>
      <c r="L275" s="98"/>
    </row>
    <row r="276" spans="10:12" ht="14.4">
      <c r="J276" s="98"/>
      <c r="K276" s="98"/>
      <c r="L276" s="98"/>
    </row>
    <row r="277" spans="10:12" ht="14.4">
      <c r="J277" s="98"/>
      <c r="K277" s="98"/>
      <c r="L277" s="98"/>
    </row>
    <row r="278" spans="10:12" ht="14.4">
      <c r="J278" s="98"/>
      <c r="K278" s="98"/>
      <c r="L278" s="98"/>
    </row>
    <row r="279" spans="10:12" ht="14.4">
      <c r="J279" s="98"/>
      <c r="K279" s="98"/>
      <c r="L279" s="98"/>
    </row>
    <row r="280" spans="10:12" ht="14.4">
      <c r="J280" s="98"/>
      <c r="K280" s="98"/>
      <c r="L280" s="98"/>
    </row>
    <row r="281" spans="10:12" ht="14.4">
      <c r="J281" s="98"/>
      <c r="K281" s="98"/>
      <c r="L281" s="98"/>
    </row>
    <row r="282" spans="10:12" ht="14.4">
      <c r="J282" s="98"/>
      <c r="K282" s="98"/>
      <c r="L282" s="98"/>
    </row>
    <row r="283" spans="10:12" ht="14.4">
      <c r="J283" s="98"/>
      <c r="K283" s="98"/>
      <c r="L283" s="98"/>
    </row>
    <row r="284" spans="10:12" ht="14.4">
      <c r="J284" s="98"/>
      <c r="K284" s="98"/>
      <c r="L284" s="98"/>
    </row>
    <row r="285" spans="10:12" ht="14.4">
      <c r="J285" s="98"/>
      <c r="K285" s="98"/>
      <c r="L285" s="98"/>
    </row>
    <row r="286" spans="10:12" ht="14.4">
      <c r="J286" s="98"/>
      <c r="K286" s="98"/>
      <c r="L286" s="98"/>
    </row>
    <row r="287" spans="10:12" ht="14.4">
      <c r="J287" s="98"/>
      <c r="K287" s="98"/>
      <c r="L287" s="98"/>
    </row>
    <row r="288" spans="10:12" ht="14.4">
      <c r="J288" s="98"/>
      <c r="K288" s="98"/>
      <c r="L288" s="98"/>
    </row>
    <row r="289" spans="10:12" ht="14.4">
      <c r="J289" s="98"/>
      <c r="K289" s="98"/>
      <c r="L289" s="98"/>
    </row>
    <row r="290" spans="10:12" ht="14.4">
      <c r="J290" s="98"/>
      <c r="K290" s="98"/>
      <c r="L290" s="98"/>
    </row>
    <row r="291" spans="10:12" ht="14.4">
      <c r="J291" s="98"/>
      <c r="K291" s="98"/>
      <c r="L291" s="98"/>
    </row>
    <row r="292" spans="10:12" ht="14.4">
      <c r="J292" s="98"/>
      <c r="K292" s="98"/>
      <c r="L292" s="98"/>
    </row>
    <row r="293" spans="10:12" ht="14.4">
      <c r="J293" s="98"/>
      <c r="K293" s="98"/>
      <c r="L293" s="98"/>
    </row>
    <row r="294" spans="10:12" ht="14.4">
      <c r="J294" s="98"/>
      <c r="K294" s="98"/>
      <c r="L294" s="98"/>
    </row>
    <row r="295" spans="10:12" ht="14.4">
      <c r="J295" s="98"/>
      <c r="K295" s="98"/>
      <c r="L295" s="98"/>
    </row>
    <row r="296" spans="10:12" ht="14.4">
      <c r="J296" s="98"/>
      <c r="K296" s="98"/>
      <c r="L296" s="98"/>
    </row>
    <row r="297" spans="10:12" ht="14.4">
      <c r="J297" s="98"/>
      <c r="K297" s="98"/>
      <c r="L297" s="98"/>
    </row>
    <row r="298" spans="10:12" ht="14.4">
      <c r="J298" s="98"/>
      <c r="K298" s="98"/>
      <c r="L298" s="98"/>
    </row>
    <row r="299" spans="10:12" ht="14.4">
      <c r="J299" s="98"/>
      <c r="K299" s="98"/>
      <c r="L299" s="98"/>
    </row>
    <row r="300" spans="10:12" ht="14.4">
      <c r="J300" s="98"/>
      <c r="K300" s="98"/>
      <c r="L300" s="98"/>
    </row>
    <row r="301" spans="10:12" ht="14.4">
      <c r="J301" s="98"/>
      <c r="K301" s="98"/>
      <c r="L301" s="98"/>
    </row>
    <row r="302" spans="10:12" ht="14.4">
      <c r="J302" s="98"/>
      <c r="K302" s="98"/>
      <c r="L302" s="98"/>
    </row>
    <row r="303" spans="10:12" ht="14.4">
      <c r="J303" s="98"/>
      <c r="K303" s="98"/>
      <c r="L303" s="98"/>
    </row>
    <row r="304" spans="10:12" ht="14.4">
      <c r="J304" s="98"/>
      <c r="K304" s="98"/>
      <c r="L304" s="98"/>
    </row>
    <row r="305" spans="10:12" ht="14.4">
      <c r="J305" s="98"/>
      <c r="K305" s="98"/>
      <c r="L305" s="98"/>
    </row>
    <row r="306" spans="10:12" ht="14.4">
      <c r="J306" s="98"/>
      <c r="K306" s="98"/>
      <c r="L306" s="98"/>
    </row>
    <row r="307" spans="10:12" ht="14.4">
      <c r="J307" s="98"/>
      <c r="K307" s="98"/>
      <c r="L307" s="98"/>
    </row>
    <row r="308" spans="10:12" ht="14.4">
      <c r="J308" s="98"/>
      <c r="K308" s="98"/>
      <c r="L308" s="98"/>
    </row>
    <row r="309" spans="10:12" ht="14.4">
      <c r="J309" s="98"/>
      <c r="K309" s="98"/>
      <c r="L309" s="98"/>
    </row>
    <row r="310" spans="10:12" ht="14.4">
      <c r="J310" s="98"/>
      <c r="K310" s="98"/>
      <c r="L310" s="98"/>
    </row>
    <row r="311" spans="10:12" ht="14.4">
      <c r="J311" s="98"/>
      <c r="K311" s="98"/>
      <c r="L311" s="98"/>
    </row>
    <row r="312" spans="10:12" ht="14.4">
      <c r="J312" s="98"/>
      <c r="K312" s="98"/>
      <c r="L312" s="98"/>
    </row>
    <row r="313" spans="10:12" ht="14.4">
      <c r="J313" s="98"/>
      <c r="K313" s="98"/>
      <c r="L313" s="98"/>
    </row>
    <row r="314" spans="10:12" ht="14.4">
      <c r="J314" s="98"/>
      <c r="K314" s="98"/>
      <c r="L314" s="98"/>
    </row>
    <row r="315" spans="10:12" ht="14.4">
      <c r="J315" s="98"/>
      <c r="K315" s="98"/>
      <c r="L315" s="98"/>
    </row>
    <row r="316" spans="10:12" ht="14.4">
      <c r="J316" s="98"/>
      <c r="K316" s="98"/>
      <c r="L316" s="98"/>
    </row>
    <row r="317" spans="10:12" ht="14.4">
      <c r="J317" s="98"/>
      <c r="K317" s="98"/>
      <c r="L317" s="98"/>
    </row>
    <row r="318" spans="10:12" ht="14.4">
      <c r="J318" s="98"/>
      <c r="K318" s="98"/>
      <c r="L318" s="98"/>
    </row>
    <row r="319" spans="10:12" ht="14.4">
      <c r="J319" s="98"/>
      <c r="K319" s="98"/>
      <c r="L319" s="98"/>
    </row>
    <row r="320" spans="10:12" ht="14.4">
      <c r="J320" s="98"/>
      <c r="K320" s="98"/>
      <c r="L320" s="98"/>
    </row>
    <row r="321" spans="10:12" ht="14.4">
      <c r="J321" s="98"/>
      <c r="K321" s="98"/>
      <c r="L321" s="98"/>
    </row>
    <row r="322" spans="10:12" ht="14.4">
      <c r="J322" s="98"/>
      <c r="K322" s="98"/>
      <c r="L322" s="98"/>
    </row>
    <row r="323" spans="10:12" ht="14.4">
      <c r="J323" s="98"/>
      <c r="K323" s="98"/>
      <c r="L323" s="98"/>
    </row>
    <row r="324" spans="10:12" ht="14.4">
      <c r="J324" s="98"/>
      <c r="K324" s="98"/>
      <c r="L324" s="98"/>
    </row>
    <row r="325" spans="10:12" ht="14.4">
      <c r="J325" s="98"/>
      <c r="K325" s="98"/>
      <c r="L325" s="98"/>
    </row>
    <row r="326" spans="10:12" ht="14.4">
      <c r="J326" s="98"/>
      <c r="K326" s="98"/>
      <c r="L326" s="98"/>
    </row>
    <row r="327" spans="10:12" ht="14.4">
      <c r="J327" s="98"/>
      <c r="K327" s="98"/>
      <c r="L327" s="98"/>
    </row>
    <row r="328" spans="10:12" ht="14.4">
      <c r="J328" s="98"/>
      <c r="K328" s="98"/>
      <c r="L328" s="98"/>
    </row>
    <row r="329" spans="10:12" ht="14.4">
      <c r="J329" s="98"/>
      <c r="K329" s="98"/>
      <c r="L329" s="98"/>
    </row>
    <row r="330" spans="10:12" ht="14.4">
      <c r="J330" s="98"/>
      <c r="K330" s="98"/>
      <c r="L330" s="98"/>
    </row>
    <row r="331" spans="10:12" ht="14.4">
      <c r="J331" s="98"/>
      <c r="K331" s="98"/>
      <c r="L331" s="98"/>
    </row>
    <row r="332" spans="10:12" ht="14.4">
      <c r="J332" s="98"/>
      <c r="K332" s="98"/>
      <c r="L332" s="98"/>
    </row>
    <row r="333" spans="10:12" ht="14.4">
      <c r="J333" s="98"/>
      <c r="K333" s="98"/>
      <c r="L333" s="98"/>
    </row>
    <row r="334" spans="10:12" ht="14.4">
      <c r="J334" s="98"/>
      <c r="K334" s="98"/>
      <c r="L334" s="98"/>
    </row>
    <row r="335" spans="10:12" ht="14.4">
      <c r="J335" s="98"/>
      <c r="K335" s="98"/>
      <c r="L335" s="98"/>
    </row>
    <row r="336" spans="10:12" ht="14.4">
      <c r="J336" s="98"/>
      <c r="K336" s="98"/>
      <c r="L336" s="98"/>
    </row>
    <row r="337" spans="10:12" ht="14.4">
      <c r="J337" s="98"/>
      <c r="K337" s="98"/>
      <c r="L337" s="98"/>
    </row>
    <row r="338" spans="10:12" ht="14.4">
      <c r="J338" s="98"/>
      <c r="K338" s="98"/>
      <c r="L338" s="98"/>
    </row>
    <row r="339" spans="10:12" ht="14.4">
      <c r="J339" s="98"/>
      <c r="K339" s="98"/>
      <c r="L339" s="98"/>
    </row>
    <row r="340" spans="10:12" ht="14.4">
      <c r="J340" s="98"/>
      <c r="K340" s="98"/>
      <c r="L340" s="98"/>
    </row>
    <row r="341" spans="10:12" ht="14.4">
      <c r="J341" s="98"/>
      <c r="K341" s="98"/>
      <c r="L341" s="98"/>
    </row>
    <row r="342" spans="10:12" ht="14.4">
      <c r="J342" s="98"/>
      <c r="K342" s="98"/>
      <c r="L342" s="98"/>
    </row>
    <row r="343" spans="10:12" ht="14.4">
      <c r="J343" s="98"/>
      <c r="K343" s="98"/>
      <c r="L343" s="98"/>
    </row>
    <row r="344" spans="10:12" ht="14.4">
      <c r="J344" s="98"/>
      <c r="K344" s="98"/>
      <c r="L344" s="98"/>
    </row>
    <row r="345" spans="10:12" ht="14.4">
      <c r="J345" s="98"/>
      <c r="K345" s="98"/>
      <c r="L345" s="98"/>
    </row>
    <row r="346" spans="10:12" ht="14.4">
      <c r="J346" s="98"/>
      <c r="K346" s="98"/>
      <c r="L346" s="98"/>
    </row>
    <row r="347" spans="10:12" ht="14.4">
      <c r="J347" s="98"/>
      <c r="K347" s="98"/>
      <c r="L347" s="98"/>
    </row>
    <row r="348" spans="10:12" ht="14.4">
      <c r="J348" s="98"/>
      <c r="K348" s="98"/>
      <c r="L348" s="98"/>
    </row>
    <row r="349" spans="10:12" ht="14.4">
      <c r="J349" s="98"/>
      <c r="K349" s="98"/>
      <c r="L349" s="98"/>
    </row>
    <row r="350" spans="10:12" ht="14.4">
      <c r="J350" s="98"/>
      <c r="K350" s="98"/>
      <c r="L350" s="98"/>
    </row>
    <row r="351" spans="10:12" ht="14.4">
      <c r="J351" s="98"/>
      <c r="K351" s="98"/>
      <c r="L351" s="98"/>
    </row>
    <row r="352" spans="10:12" ht="14.4">
      <c r="J352" s="98"/>
      <c r="K352" s="98"/>
      <c r="L352" s="98"/>
    </row>
    <row r="353" spans="10:12" ht="14.4">
      <c r="J353" s="98"/>
      <c r="K353" s="98"/>
      <c r="L353" s="98"/>
    </row>
    <row r="354" spans="10:12" ht="14.4">
      <c r="J354" s="98"/>
      <c r="K354" s="98"/>
      <c r="L354" s="98"/>
    </row>
    <row r="355" spans="10:12" ht="14.4">
      <c r="J355" s="98"/>
      <c r="K355" s="98"/>
      <c r="L355" s="98"/>
    </row>
    <row r="356" spans="10:12" ht="14.4">
      <c r="J356" s="98"/>
      <c r="K356" s="98"/>
      <c r="L356" s="98"/>
    </row>
    <row r="357" spans="10:12" ht="14.4">
      <c r="J357" s="98"/>
      <c r="K357" s="98"/>
      <c r="L357" s="98"/>
    </row>
    <row r="358" spans="10:12" ht="14.4">
      <c r="J358" s="98"/>
      <c r="K358" s="98"/>
      <c r="L358" s="98"/>
    </row>
    <row r="359" spans="10:12" ht="14.4">
      <c r="J359" s="98"/>
      <c r="K359" s="98"/>
      <c r="L359" s="98"/>
    </row>
    <row r="360" spans="10:12" ht="14.4">
      <c r="J360" s="98"/>
      <c r="K360" s="98"/>
      <c r="L360" s="98"/>
    </row>
    <row r="361" spans="10:12" ht="14.4">
      <c r="J361" s="98"/>
      <c r="K361" s="98"/>
      <c r="L361" s="98"/>
    </row>
    <row r="362" spans="10:12" ht="14.4">
      <c r="J362" s="98"/>
      <c r="K362" s="98"/>
      <c r="L362" s="98"/>
    </row>
    <row r="363" spans="10:12" ht="14.4">
      <c r="J363" s="98"/>
      <c r="K363" s="98"/>
      <c r="L363" s="98"/>
    </row>
    <row r="364" spans="10:12" ht="14.4">
      <c r="J364" s="98"/>
      <c r="K364" s="98"/>
      <c r="L364" s="98"/>
    </row>
    <row r="365" spans="10:12" ht="14.4">
      <c r="J365" s="98"/>
      <c r="K365" s="98"/>
      <c r="L365" s="98"/>
    </row>
    <row r="366" spans="10:12" ht="14.4">
      <c r="J366" s="98"/>
      <c r="K366" s="98"/>
      <c r="L366" s="98"/>
    </row>
    <row r="367" spans="10:12" ht="14.4">
      <c r="J367" s="98"/>
      <c r="K367" s="98"/>
      <c r="L367" s="98"/>
    </row>
    <row r="368" spans="10:12" ht="14.4">
      <c r="J368" s="98"/>
      <c r="K368" s="98"/>
      <c r="L368" s="98"/>
    </row>
    <row r="369" spans="10:12" ht="14.4">
      <c r="J369" s="98"/>
      <c r="K369" s="98"/>
      <c r="L369" s="98"/>
    </row>
    <row r="370" spans="10:12" ht="14.4">
      <c r="J370" s="98"/>
      <c r="K370" s="98"/>
      <c r="L370" s="98"/>
    </row>
    <row r="371" spans="10:12" ht="14.4">
      <c r="J371" s="98"/>
      <c r="K371" s="98"/>
      <c r="L371" s="98"/>
    </row>
    <row r="372" spans="10:12" ht="14.4">
      <c r="J372" s="98"/>
      <c r="K372" s="98"/>
      <c r="L372" s="98"/>
    </row>
    <row r="373" spans="10:12" ht="14.4">
      <c r="J373" s="98"/>
      <c r="K373" s="98"/>
      <c r="L373" s="98"/>
    </row>
    <row r="374" spans="10:12" ht="14.4">
      <c r="J374" s="98"/>
      <c r="K374" s="98"/>
      <c r="L374" s="98"/>
    </row>
    <row r="375" spans="10:12" ht="14.4">
      <c r="J375" s="98"/>
      <c r="K375" s="98"/>
      <c r="L375" s="98"/>
    </row>
    <row r="376" spans="10:12" ht="14.4">
      <c r="J376" s="98"/>
      <c r="K376" s="98"/>
      <c r="L376" s="98"/>
    </row>
    <row r="377" spans="10:12" ht="14.4">
      <c r="J377" s="98"/>
      <c r="K377" s="98"/>
      <c r="L377" s="98"/>
    </row>
    <row r="378" spans="10:12" ht="14.4">
      <c r="J378" s="98"/>
      <c r="K378" s="98"/>
      <c r="L378" s="98"/>
    </row>
    <row r="379" spans="10:12" ht="14.4">
      <c r="J379" s="98"/>
      <c r="K379" s="98"/>
      <c r="L379" s="98"/>
    </row>
    <row r="380" spans="10:12" ht="14.4">
      <c r="J380" s="98"/>
      <c r="K380" s="98"/>
      <c r="L380" s="98"/>
    </row>
    <row r="381" spans="10:12" ht="14.4">
      <c r="J381" s="98"/>
      <c r="K381" s="98"/>
      <c r="L381" s="98"/>
    </row>
    <row r="382" spans="10:12" ht="14.4">
      <c r="J382" s="98"/>
      <c r="K382" s="98"/>
      <c r="L382" s="98"/>
    </row>
    <row r="383" spans="10:12" ht="14.4">
      <c r="J383" s="98"/>
      <c r="K383" s="98"/>
      <c r="L383" s="98"/>
    </row>
    <row r="384" spans="10:12" ht="14.4">
      <c r="J384" s="98"/>
      <c r="K384" s="98"/>
      <c r="L384" s="98"/>
    </row>
    <row r="385" spans="10:12" ht="14.4">
      <c r="J385" s="98"/>
      <c r="K385" s="98"/>
      <c r="L385" s="98"/>
    </row>
    <row r="386" spans="10:12" ht="14.4">
      <c r="J386" s="98"/>
      <c r="K386" s="98"/>
      <c r="L386" s="98"/>
    </row>
    <row r="387" spans="10:12" ht="14.4">
      <c r="J387" s="98"/>
      <c r="K387" s="98"/>
      <c r="L387" s="98"/>
    </row>
    <row r="388" spans="10:12" ht="14.4">
      <c r="J388" s="98"/>
      <c r="K388" s="98"/>
      <c r="L388" s="98"/>
    </row>
    <row r="389" spans="10:12" ht="14.4">
      <c r="J389" s="98"/>
      <c r="K389" s="98"/>
      <c r="L389" s="98"/>
    </row>
    <row r="390" spans="10:12" ht="14.4">
      <c r="J390" s="98"/>
      <c r="K390" s="98"/>
      <c r="L390" s="98"/>
    </row>
    <row r="391" spans="10:12" ht="14.4">
      <c r="J391" s="98"/>
      <c r="K391" s="98"/>
      <c r="L391" s="98"/>
    </row>
    <row r="392" spans="10:12" ht="14.4">
      <c r="J392" s="98"/>
      <c r="K392" s="98"/>
      <c r="L392" s="98"/>
    </row>
    <row r="393" spans="10:12" ht="14.4">
      <c r="J393" s="98"/>
      <c r="K393" s="98"/>
      <c r="L393" s="98"/>
    </row>
    <row r="394" spans="10:12" ht="14.4">
      <c r="J394" s="98"/>
      <c r="K394" s="98"/>
      <c r="L394" s="98"/>
    </row>
    <row r="395" spans="10:12" ht="14.4">
      <c r="J395" s="98"/>
      <c r="K395" s="98"/>
      <c r="L395" s="98"/>
    </row>
    <row r="396" spans="10:12" ht="14.4">
      <c r="J396" s="98"/>
      <c r="K396" s="98"/>
      <c r="L396" s="98"/>
    </row>
    <row r="397" spans="10:12" ht="14.4">
      <c r="J397" s="98"/>
      <c r="K397" s="98"/>
      <c r="L397" s="98"/>
    </row>
    <row r="398" spans="10:12" ht="14.4">
      <c r="J398" s="98"/>
      <c r="K398" s="98"/>
      <c r="L398" s="98"/>
    </row>
    <row r="399" spans="10:12" ht="14.4">
      <c r="J399" s="98"/>
      <c r="K399" s="98"/>
      <c r="L399" s="98"/>
    </row>
    <row r="400" spans="10:12" ht="14.4">
      <c r="J400" s="98"/>
      <c r="K400" s="98"/>
      <c r="L400" s="98"/>
    </row>
    <row r="401" spans="10:12" ht="14.4">
      <c r="J401" s="98"/>
      <c r="K401" s="98"/>
      <c r="L401" s="98"/>
    </row>
    <row r="402" spans="10:12" ht="14.4">
      <c r="J402" s="98"/>
      <c r="K402" s="98"/>
      <c r="L402" s="98"/>
    </row>
    <row r="403" spans="10:12" ht="14.4">
      <c r="J403" s="98"/>
      <c r="K403" s="98"/>
      <c r="L403" s="98"/>
    </row>
    <row r="404" spans="10:12" ht="14.4">
      <c r="J404" s="98"/>
      <c r="K404" s="98"/>
      <c r="L404" s="98"/>
    </row>
    <row r="405" spans="10:12" ht="14.4">
      <c r="J405" s="98"/>
      <c r="K405" s="98"/>
      <c r="L405" s="98"/>
    </row>
    <row r="406" spans="10:12" ht="14.4">
      <c r="J406" s="98"/>
      <c r="K406" s="98"/>
      <c r="L406" s="98"/>
    </row>
    <row r="407" spans="10:12" ht="14.4">
      <c r="J407" s="98"/>
      <c r="K407" s="98"/>
      <c r="L407" s="98"/>
    </row>
    <row r="408" spans="10:12" ht="14.4">
      <c r="J408" s="98"/>
      <c r="K408" s="98"/>
      <c r="L408" s="98"/>
    </row>
    <row r="409" spans="10:12" ht="14.4">
      <c r="J409" s="98"/>
      <c r="K409" s="98"/>
      <c r="L409" s="98"/>
    </row>
    <row r="410" spans="10:12" ht="14.4">
      <c r="J410" s="98"/>
      <c r="K410" s="98"/>
      <c r="L410" s="98"/>
    </row>
    <row r="411" spans="10:12" ht="14.4">
      <c r="J411" s="98"/>
      <c r="K411" s="98"/>
      <c r="L411" s="98"/>
    </row>
    <row r="412" spans="10:12" ht="14.4">
      <c r="J412" s="98"/>
      <c r="K412" s="98"/>
      <c r="L412" s="98"/>
    </row>
    <row r="413" spans="10:12" ht="14.4">
      <c r="J413" s="98"/>
      <c r="K413" s="98"/>
      <c r="L413" s="98"/>
    </row>
    <row r="414" spans="10:12" ht="14.4">
      <c r="J414" s="98"/>
      <c r="K414" s="98"/>
      <c r="L414" s="98"/>
    </row>
    <row r="415" spans="10:12" ht="14.4">
      <c r="J415" s="98"/>
      <c r="K415" s="98"/>
      <c r="L415" s="98"/>
    </row>
    <row r="416" spans="10:12" ht="14.4">
      <c r="J416" s="98"/>
      <c r="K416" s="98"/>
      <c r="L416" s="98"/>
    </row>
    <row r="417" spans="10:12" ht="14.4">
      <c r="J417" s="98"/>
      <c r="K417" s="98"/>
      <c r="L417" s="98"/>
    </row>
    <row r="418" spans="10:12" ht="14.4">
      <c r="J418" s="98"/>
      <c r="K418" s="98"/>
      <c r="L418" s="98"/>
    </row>
    <row r="419" spans="10:12" ht="14.4">
      <c r="J419" s="98"/>
      <c r="K419" s="98"/>
      <c r="L419" s="98"/>
    </row>
    <row r="420" spans="10:12" ht="14.4">
      <c r="J420" s="98"/>
      <c r="K420" s="98"/>
      <c r="L420" s="98"/>
    </row>
    <row r="421" spans="10:12" ht="14.4">
      <c r="J421" s="98"/>
      <c r="K421" s="98"/>
      <c r="L421" s="98"/>
    </row>
    <row r="422" spans="10:12" ht="14.4">
      <c r="J422" s="98"/>
      <c r="K422" s="98"/>
      <c r="L422" s="98"/>
    </row>
    <row r="423" spans="10:12" ht="14.4">
      <c r="J423" s="98"/>
      <c r="K423" s="98"/>
      <c r="L423" s="98"/>
    </row>
    <row r="424" spans="10:12" ht="14.4">
      <c r="J424" s="98"/>
      <c r="K424" s="98"/>
      <c r="L424" s="98"/>
    </row>
    <row r="425" spans="10:12" ht="14.4">
      <c r="J425" s="98"/>
      <c r="K425" s="98"/>
      <c r="L425" s="98"/>
    </row>
    <row r="426" spans="10:12" ht="14.4">
      <c r="J426" s="98"/>
      <c r="K426" s="98"/>
      <c r="L426" s="98"/>
    </row>
    <row r="427" spans="10:12" ht="14.4">
      <c r="J427" s="98"/>
      <c r="K427" s="98"/>
      <c r="L427" s="98"/>
    </row>
    <row r="428" spans="10:12" ht="14.4">
      <c r="J428" s="98"/>
      <c r="K428" s="98"/>
      <c r="L428" s="98"/>
    </row>
    <row r="429" spans="10:12" ht="14.4">
      <c r="J429" s="98"/>
      <c r="K429" s="98"/>
      <c r="L429" s="98"/>
    </row>
    <row r="430" spans="10:12" ht="14.4">
      <c r="J430" s="98"/>
      <c r="K430" s="98"/>
      <c r="L430" s="98"/>
    </row>
    <row r="431" spans="10:12" ht="14.4">
      <c r="J431" s="98"/>
      <c r="K431" s="98"/>
      <c r="L431" s="98"/>
    </row>
    <row r="432" spans="10:12" ht="14.4">
      <c r="J432" s="98"/>
      <c r="K432" s="98"/>
      <c r="L432" s="98"/>
    </row>
    <row r="433" spans="10:12" ht="14.4">
      <c r="J433" s="98"/>
      <c r="K433" s="98"/>
      <c r="L433" s="98"/>
    </row>
    <row r="434" spans="10:12" ht="14.4">
      <c r="J434" s="98"/>
      <c r="K434" s="98"/>
      <c r="L434" s="98"/>
    </row>
    <row r="435" spans="10:12" ht="14.4">
      <c r="J435" s="98"/>
      <c r="K435" s="98"/>
      <c r="L435" s="98"/>
    </row>
    <row r="436" spans="10:12" ht="14.4">
      <c r="J436" s="98"/>
      <c r="K436" s="98"/>
      <c r="L436" s="98"/>
    </row>
    <row r="437" spans="10:12" ht="14.4">
      <c r="J437" s="98"/>
      <c r="K437" s="98"/>
      <c r="L437" s="98"/>
    </row>
    <row r="438" spans="10:12" ht="14.4">
      <c r="J438" s="98"/>
      <c r="K438" s="98"/>
      <c r="L438" s="98"/>
    </row>
    <row r="439" spans="10:12" ht="14.4">
      <c r="J439" s="98"/>
      <c r="K439" s="98"/>
      <c r="L439" s="98"/>
    </row>
    <row r="440" spans="10:12" ht="14.4">
      <c r="J440" s="98"/>
      <c r="K440" s="98"/>
      <c r="L440" s="98"/>
    </row>
    <row r="441" spans="10:12" ht="14.4">
      <c r="J441" s="98"/>
      <c r="K441" s="98"/>
      <c r="L441" s="98"/>
    </row>
    <row r="442" spans="10:12" ht="14.4">
      <c r="J442" s="98"/>
      <c r="K442" s="98"/>
      <c r="L442" s="98"/>
    </row>
    <row r="443" spans="10:12" ht="14.4">
      <c r="J443" s="98"/>
      <c r="K443" s="98"/>
      <c r="L443" s="98"/>
    </row>
    <row r="444" spans="10:12" ht="14.4">
      <c r="J444" s="98"/>
      <c r="K444" s="98"/>
      <c r="L444" s="98"/>
    </row>
    <row r="445" spans="10:12" ht="14.4">
      <c r="J445" s="98"/>
      <c r="K445" s="98"/>
      <c r="L445" s="98"/>
    </row>
    <row r="446" spans="10:12" ht="14.4">
      <c r="J446" s="98"/>
      <c r="K446" s="98"/>
      <c r="L446" s="98"/>
    </row>
    <row r="447" spans="10:12" ht="14.4">
      <c r="J447" s="98"/>
      <c r="K447" s="98"/>
      <c r="L447" s="98"/>
    </row>
    <row r="448" spans="10:12" ht="14.4">
      <c r="J448" s="98"/>
      <c r="K448" s="98"/>
      <c r="L448" s="98"/>
    </row>
    <row r="449" spans="10:12" ht="14.4">
      <c r="J449" s="98"/>
      <c r="K449" s="98"/>
      <c r="L449" s="98"/>
    </row>
    <row r="450" spans="10:12" ht="14.4">
      <c r="J450" s="98"/>
      <c r="K450" s="98"/>
      <c r="L450" s="98"/>
    </row>
    <row r="451" spans="10:12" ht="14.4">
      <c r="J451" s="98"/>
      <c r="K451" s="98"/>
      <c r="L451" s="98"/>
    </row>
    <row r="452" spans="10:12" ht="14.4">
      <c r="J452" s="98"/>
      <c r="K452" s="98"/>
      <c r="L452" s="98"/>
    </row>
    <row r="453" spans="10:12" ht="14.4">
      <c r="J453" s="98"/>
      <c r="K453" s="98"/>
      <c r="L453" s="98"/>
    </row>
    <row r="454" spans="10:12" ht="14.4">
      <c r="J454" s="98"/>
      <c r="K454" s="98"/>
      <c r="L454" s="98"/>
    </row>
    <row r="455" spans="10:12" ht="14.4">
      <c r="J455" s="98"/>
      <c r="K455" s="98"/>
      <c r="L455" s="98"/>
    </row>
    <row r="456" spans="10:12" ht="14.4">
      <c r="J456" s="98"/>
      <c r="K456" s="98"/>
      <c r="L456" s="98"/>
    </row>
    <row r="457" spans="10:12" ht="14.4">
      <c r="J457" s="98"/>
      <c r="K457" s="98"/>
      <c r="L457" s="98"/>
    </row>
    <row r="458" spans="10:12" ht="14.4">
      <c r="J458" s="98"/>
      <c r="K458" s="98"/>
      <c r="L458" s="98"/>
    </row>
    <row r="459" spans="10:12" ht="14.4">
      <c r="J459" s="98"/>
      <c r="K459" s="98"/>
      <c r="L459" s="98"/>
    </row>
    <row r="460" spans="10:12" ht="14.4">
      <c r="J460" s="98"/>
      <c r="K460" s="98"/>
      <c r="L460" s="98"/>
    </row>
    <row r="461" spans="10:12" ht="14.4">
      <c r="J461" s="98"/>
      <c r="K461" s="98"/>
      <c r="L461" s="98"/>
    </row>
    <row r="462" spans="10:12" ht="14.4">
      <c r="J462" s="98"/>
      <c r="K462" s="98"/>
      <c r="L462" s="98"/>
    </row>
    <row r="463" spans="10:12" ht="14.4">
      <c r="J463" s="98"/>
      <c r="K463" s="98"/>
      <c r="L463" s="98"/>
    </row>
    <row r="464" spans="10:12" ht="14.4">
      <c r="J464" s="98"/>
      <c r="K464" s="98"/>
      <c r="L464" s="98"/>
    </row>
    <row r="465" spans="10:12" ht="14.4">
      <c r="J465" s="98"/>
      <c r="K465" s="98"/>
      <c r="L465" s="98"/>
    </row>
    <row r="466" spans="10:12" ht="14.4">
      <c r="J466" s="98"/>
      <c r="K466" s="98"/>
      <c r="L466" s="98"/>
    </row>
    <row r="467" spans="10:12" ht="14.4">
      <c r="J467" s="98"/>
      <c r="K467" s="98"/>
      <c r="L467" s="98"/>
    </row>
    <row r="468" spans="10:12" ht="14.4">
      <c r="J468" s="98"/>
      <c r="K468" s="98"/>
      <c r="L468" s="98"/>
    </row>
    <row r="469" spans="10:12" ht="14.4">
      <c r="J469" s="98"/>
      <c r="K469" s="98"/>
      <c r="L469" s="98"/>
    </row>
    <row r="470" spans="10:12" ht="14.4">
      <c r="J470" s="98"/>
      <c r="K470" s="98"/>
      <c r="L470" s="98"/>
    </row>
    <row r="471" spans="10:12" ht="14.4">
      <c r="J471" s="98"/>
      <c r="K471" s="98"/>
      <c r="L471" s="98"/>
    </row>
    <row r="472" spans="10:12" ht="14.4">
      <c r="J472" s="98"/>
      <c r="K472" s="98"/>
      <c r="L472" s="98"/>
    </row>
    <row r="473" spans="10:12" ht="14.4">
      <c r="J473" s="98"/>
      <c r="K473" s="98"/>
      <c r="L473" s="98"/>
    </row>
    <row r="474" spans="10:12" ht="14.4">
      <c r="J474" s="98"/>
      <c r="K474" s="98"/>
      <c r="L474" s="98"/>
    </row>
    <row r="475" spans="10:12" ht="14.4">
      <c r="J475" s="98"/>
      <c r="K475" s="98"/>
      <c r="L475" s="98"/>
    </row>
    <row r="476" spans="10:12" ht="14.4">
      <c r="J476" s="98"/>
      <c r="K476" s="98"/>
      <c r="L476" s="98"/>
    </row>
    <row r="477" spans="10:12" ht="14.4">
      <c r="J477" s="98"/>
      <c r="K477" s="98"/>
      <c r="L477" s="98"/>
    </row>
    <row r="478" spans="10:12" ht="14.4">
      <c r="J478" s="98"/>
      <c r="K478" s="98"/>
      <c r="L478" s="98"/>
    </row>
    <row r="479" spans="10:12" ht="14.4">
      <c r="J479" s="98"/>
      <c r="K479" s="98"/>
      <c r="L479" s="98"/>
    </row>
    <row r="480" spans="10:12" ht="14.4">
      <c r="J480" s="98"/>
      <c r="K480" s="98"/>
      <c r="L480" s="98"/>
    </row>
    <row r="481" spans="10:12" ht="14.4">
      <c r="J481" s="98"/>
      <c r="K481" s="98"/>
      <c r="L481" s="98"/>
    </row>
    <row r="482" spans="10:12" ht="14.4">
      <c r="J482" s="98"/>
      <c r="K482" s="98"/>
      <c r="L482" s="98"/>
    </row>
    <row r="483" spans="10:12" ht="14.4">
      <c r="J483" s="98"/>
      <c r="K483" s="98"/>
      <c r="L483" s="98"/>
    </row>
    <row r="484" spans="10:12" ht="14.4">
      <c r="J484" s="98"/>
      <c r="K484" s="98"/>
      <c r="L484" s="98"/>
    </row>
    <row r="485" spans="10:12" ht="14.4">
      <c r="J485" s="98"/>
      <c r="K485" s="98"/>
      <c r="L485" s="98"/>
    </row>
    <row r="486" spans="10:12" ht="14.4">
      <c r="J486" s="98"/>
      <c r="K486" s="98"/>
      <c r="L486" s="98"/>
    </row>
    <row r="487" spans="10:12" ht="14.4">
      <c r="J487" s="98"/>
      <c r="K487" s="98"/>
      <c r="L487" s="98"/>
    </row>
    <row r="488" spans="10:12" ht="14.4">
      <c r="J488" s="98"/>
      <c r="K488" s="98"/>
      <c r="L488" s="98"/>
    </row>
    <row r="489" spans="10:12" ht="14.4">
      <c r="J489" s="98"/>
      <c r="K489" s="98"/>
      <c r="L489" s="98"/>
    </row>
    <row r="490" spans="10:12" ht="14.4">
      <c r="J490" s="98"/>
      <c r="K490" s="98"/>
      <c r="L490" s="98"/>
    </row>
    <row r="491" spans="10:12" ht="14.4">
      <c r="J491" s="98"/>
      <c r="K491" s="98"/>
      <c r="L491" s="98"/>
    </row>
    <row r="492" spans="10:12" ht="14.4">
      <c r="J492" s="98"/>
      <c r="K492" s="98"/>
      <c r="L492" s="98"/>
    </row>
    <row r="493" spans="10:12" ht="14.4">
      <c r="J493" s="98"/>
      <c r="K493" s="98"/>
      <c r="L493" s="98"/>
    </row>
    <row r="494" spans="10:12" ht="14.4">
      <c r="J494" s="98"/>
      <c r="K494" s="98"/>
      <c r="L494" s="98"/>
    </row>
    <row r="495" spans="10:12" ht="14.4">
      <c r="J495" s="98"/>
      <c r="K495" s="98"/>
      <c r="L495" s="98"/>
    </row>
    <row r="496" spans="10:12" ht="14.4">
      <c r="J496" s="98"/>
      <c r="K496" s="98"/>
      <c r="L496" s="98"/>
    </row>
    <row r="497" spans="10:12" ht="14.4">
      <c r="J497" s="98"/>
      <c r="K497" s="98"/>
      <c r="L497" s="98"/>
    </row>
    <row r="498" spans="10:12" ht="14.4">
      <c r="J498" s="98"/>
      <c r="K498" s="98"/>
      <c r="L498" s="98"/>
    </row>
    <row r="499" spans="10:12" ht="14.4">
      <c r="J499" s="98"/>
      <c r="K499" s="98"/>
      <c r="L499" s="98"/>
    </row>
    <row r="500" spans="10:12" ht="14.4">
      <c r="J500" s="98"/>
      <c r="K500" s="98"/>
      <c r="L500" s="98"/>
    </row>
    <row r="501" spans="10:12" ht="14.4">
      <c r="J501" s="98"/>
      <c r="K501" s="98"/>
      <c r="L501" s="98"/>
    </row>
    <row r="502" spans="10:12" ht="14.4">
      <c r="J502" s="98"/>
      <c r="K502" s="98"/>
      <c r="L502" s="98"/>
    </row>
    <row r="503" spans="10:12" ht="14.4">
      <c r="J503" s="98"/>
      <c r="K503" s="98"/>
      <c r="L503" s="98"/>
    </row>
    <row r="504" spans="10:12" ht="14.4">
      <c r="J504" s="98"/>
      <c r="K504" s="98"/>
      <c r="L504" s="98"/>
    </row>
    <row r="505" spans="10:12" ht="14.4">
      <c r="J505" s="98"/>
      <c r="K505" s="98"/>
      <c r="L505" s="98"/>
    </row>
    <row r="506" spans="10:12" ht="14.4">
      <c r="J506" s="98"/>
      <c r="K506" s="98"/>
      <c r="L506" s="98"/>
    </row>
    <row r="507" spans="10:12" ht="14.4">
      <c r="J507" s="98"/>
      <c r="K507" s="98"/>
      <c r="L507" s="98"/>
    </row>
    <row r="508" spans="10:12" ht="14.4">
      <c r="J508" s="98"/>
      <c r="K508" s="98"/>
      <c r="L508" s="98"/>
    </row>
    <row r="509" spans="10:12" ht="14.4">
      <c r="J509" s="98"/>
      <c r="K509" s="98"/>
      <c r="L509" s="98"/>
    </row>
    <row r="510" spans="10:12" ht="14.4">
      <c r="J510" s="98"/>
      <c r="K510" s="98"/>
      <c r="L510" s="98"/>
    </row>
    <row r="511" spans="10:12" ht="14.4">
      <c r="J511" s="98"/>
      <c r="K511" s="98"/>
      <c r="L511" s="98"/>
    </row>
    <row r="512" spans="10:12" ht="14.4">
      <c r="J512" s="98"/>
      <c r="K512" s="98"/>
      <c r="L512" s="98"/>
    </row>
    <row r="513" spans="10:12" ht="14.4">
      <c r="J513" s="98"/>
      <c r="K513" s="98"/>
      <c r="L513" s="98"/>
    </row>
    <row r="514" spans="10:12" ht="14.4">
      <c r="J514" s="98"/>
      <c r="K514" s="98"/>
      <c r="L514" s="98"/>
    </row>
    <row r="515" spans="10:12" ht="14.4">
      <c r="J515" s="98"/>
      <c r="K515" s="98"/>
      <c r="L515" s="98"/>
    </row>
    <row r="516" spans="10:12" ht="14.4">
      <c r="J516" s="98"/>
      <c r="K516" s="98"/>
      <c r="L516" s="98"/>
    </row>
    <row r="517" spans="10:12" ht="14.4">
      <c r="J517" s="98"/>
      <c r="K517" s="98"/>
      <c r="L517" s="98"/>
    </row>
    <row r="518" spans="10:12" ht="14.4">
      <c r="J518" s="98"/>
      <c r="K518" s="98"/>
      <c r="L518" s="98"/>
    </row>
    <row r="519" spans="10:12" ht="14.4">
      <c r="J519" s="98"/>
      <c r="K519" s="98"/>
      <c r="L519" s="98"/>
    </row>
    <row r="520" spans="10:12" ht="14.4">
      <c r="J520" s="98"/>
      <c r="K520" s="98"/>
      <c r="L520" s="98"/>
    </row>
    <row r="521" spans="10:12" ht="14.4">
      <c r="J521" s="98"/>
      <c r="K521" s="98"/>
      <c r="L521" s="98"/>
    </row>
    <row r="522" spans="10:12" ht="14.4">
      <c r="J522" s="98"/>
      <c r="K522" s="98"/>
      <c r="L522" s="98"/>
    </row>
    <row r="523" spans="10:12" ht="14.4">
      <c r="J523" s="98"/>
      <c r="K523" s="98"/>
      <c r="L523" s="98"/>
    </row>
    <row r="524" spans="10:12" ht="14.4">
      <c r="J524" s="98"/>
      <c r="K524" s="98"/>
      <c r="L524" s="98"/>
    </row>
    <row r="525" spans="10:12" ht="14.4">
      <c r="J525" s="98"/>
      <c r="K525" s="98"/>
      <c r="L525" s="98"/>
    </row>
    <row r="526" spans="10:12" ht="14.4">
      <c r="J526" s="98"/>
      <c r="K526" s="98"/>
      <c r="L526" s="98"/>
    </row>
    <row r="527" spans="10:12" ht="14.4">
      <c r="J527" s="98"/>
      <c r="K527" s="98"/>
      <c r="L527" s="98"/>
    </row>
    <row r="528" spans="10:12" ht="14.4">
      <c r="J528" s="98"/>
      <c r="K528" s="98"/>
      <c r="L528" s="98"/>
    </row>
    <row r="529" spans="10:12" ht="14.4">
      <c r="J529" s="98"/>
      <c r="K529" s="98"/>
      <c r="L529" s="98"/>
    </row>
    <row r="530" spans="10:12" ht="14.4">
      <c r="J530" s="98"/>
      <c r="K530" s="98"/>
      <c r="L530" s="98"/>
    </row>
    <row r="531" spans="10:12" ht="14.4">
      <c r="J531" s="98"/>
      <c r="K531" s="98"/>
      <c r="L531" s="98"/>
    </row>
    <row r="532" spans="10:12" ht="14.4">
      <c r="J532" s="98"/>
      <c r="K532" s="98"/>
      <c r="L532" s="98"/>
    </row>
    <row r="533" spans="10:12" ht="14.4">
      <c r="J533" s="98"/>
      <c r="K533" s="98"/>
      <c r="L533" s="98"/>
    </row>
    <row r="534" spans="10:12" ht="14.4">
      <c r="J534" s="98"/>
      <c r="K534" s="98"/>
      <c r="L534" s="98"/>
    </row>
    <row r="535" spans="10:12" ht="14.4">
      <c r="J535" s="98"/>
      <c r="K535" s="98"/>
      <c r="L535" s="98"/>
    </row>
    <row r="536" spans="10:12" ht="14.4">
      <c r="J536" s="98"/>
      <c r="K536" s="98"/>
      <c r="L536" s="98"/>
    </row>
    <row r="537" spans="10:12" ht="14.4">
      <c r="J537" s="98"/>
      <c r="K537" s="98"/>
      <c r="L537" s="98"/>
    </row>
    <row r="538" spans="10:12" ht="14.4">
      <c r="J538" s="98"/>
      <c r="K538" s="98"/>
      <c r="L538" s="98"/>
    </row>
    <row r="539" spans="10:12" ht="14.4">
      <c r="J539" s="98"/>
      <c r="K539" s="98"/>
      <c r="L539" s="98"/>
    </row>
    <row r="540" spans="10:12" ht="14.4">
      <c r="J540" s="98"/>
      <c r="K540" s="98"/>
      <c r="L540" s="98"/>
    </row>
    <row r="541" spans="10:12" ht="14.4">
      <c r="J541" s="98"/>
      <c r="K541" s="98"/>
      <c r="L541" s="98"/>
    </row>
    <row r="542" spans="10:12" ht="14.4">
      <c r="J542" s="98"/>
      <c r="K542" s="98"/>
      <c r="L542" s="98"/>
    </row>
    <row r="543" spans="10:12" ht="14.4">
      <c r="J543" s="98"/>
      <c r="K543" s="98"/>
      <c r="L543" s="98"/>
    </row>
    <row r="544" spans="10:12" ht="14.4">
      <c r="J544" s="98"/>
      <c r="K544" s="98"/>
      <c r="L544" s="98"/>
    </row>
    <row r="545" spans="10:12" ht="14.4">
      <c r="J545" s="98"/>
      <c r="K545" s="98"/>
      <c r="L545" s="98"/>
    </row>
    <row r="546" spans="10:12" ht="14.4">
      <c r="J546" s="98"/>
      <c r="K546" s="98"/>
      <c r="L546" s="98"/>
    </row>
    <row r="547" spans="10:12" ht="14.4">
      <c r="J547" s="98"/>
      <c r="K547" s="98"/>
      <c r="L547" s="98"/>
    </row>
    <row r="548" spans="10:12" ht="14.4">
      <c r="J548" s="98"/>
      <c r="K548" s="98"/>
      <c r="L548" s="98"/>
    </row>
    <row r="549" spans="10:12" ht="14.4">
      <c r="J549" s="98"/>
      <c r="K549" s="98"/>
      <c r="L549" s="98"/>
    </row>
    <row r="550" spans="10:12" ht="14.4">
      <c r="J550" s="98"/>
      <c r="K550" s="98"/>
      <c r="L550" s="98"/>
    </row>
    <row r="551" spans="10:12" ht="14.4">
      <c r="J551" s="98"/>
      <c r="K551" s="98"/>
      <c r="L551" s="98"/>
    </row>
    <row r="552" spans="10:12" ht="14.4">
      <c r="J552" s="98"/>
      <c r="K552" s="98"/>
      <c r="L552" s="98"/>
    </row>
    <row r="553" spans="10:12" ht="14.4">
      <c r="J553" s="98"/>
      <c r="K553" s="98"/>
      <c r="L553" s="98"/>
    </row>
    <row r="554" spans="10:12" ht="14.4">
      <c r="J554" s="98"/>
      <c r="K554" s="98"/>
      <c r="L554" s="98"/>
    </row>
    <row r="555" spans="10:12" ht="14.4">
      <c r="J555" s="98"/>
      <c r="K555" s="98"/>
      <c r="L555" s="98"/>
    </row>
    <row r="556" spans="10:12" ht="14.4">
      <c r="J556" s="98"/>
      <c r="K556" s="98"/>
      <c r="L556" s="98"/>
    </row>
    <row r="557" spans="10:12" ht="14.4">
      <c r="J557" s="98"/>
      <c r="K557" s="98"/>
      <c r="L557" s="98"/>
    </row>
    <row r="558" spans="10:12" ht="14.4">
      <c r="J558" s="98"/>
      <c r="K558" s="98"/>
      <c r="L558" s="98"/>
    </row>
    <row r="559" spans="10:12" ht="14.4">
      <c r="J559" s="98"/>
      <c r="K559" s="98"/>
      <c r="L559" s="98"/>
    </row>
    <row r="560" spans="10:12" ht="14.4">
      <c r="J560" s="98"/>
      <c r="K560" s="98"/>
      <c r="L560" s="98"/>
    </row>
    <row r="561" spans="10:12" ht="14.4">
      <c r="J561" s="98"/>
      <c r="K561" s="98"/>
      <c r="L561" s="98"/>
    </row>
    <row r="562" spans="10:12" ht="14.4">
      <c r="J562" s="98"/>
      <c r="K562" s="98"/>
      <c r="L562" s="98"/>
    </row>
    <row r="563" spans="10:12" ht="14.4">
      <c r="J563" s="98"/>
      <c r="K563" s="98"/>
      <c r="L563" s="98"/>
    </row>
    <row r="564" spans="10:12" ht="14.4">
      <c r="J564" s="98"/>
      <c r="K564" s="98"/>
      <c r="L564" s="98"/>
    </row>
    <row r="565" spans="10:12" ht="14.4">
      <c r="J565" s="98"/>
      <c r="K565" s="98"/>
      <c r="L565" s="98"/>
    </row>
    <row r="566" spans="10:12" ht="14.4">
      <c r="J566" s="98"/>
      <c r="K566" s="98"/>
      <c r="L566" s="98"/>
    </row>
    <row r="567" spans="10:12" ht="14.4">
      <c r="J567" s="98"/>
      <c r="K567" s="98"/>
      <c r="L567" s="98"/>
    </row>
    <row r="568" spans="10:12" ht="14.4">
      <c r="J568" s="98"/>
      <c r="K568" s="98"/>
      <c r="L568" s="98"/>
    </row>
    <row r="569" spans="10:12" ht="14.4">
      <c r="J569" s="98"/>
      <c r="K569" s="98"/>
      <c r="L569" s="98"/>
    </row>
    <row r="570" spans="10:12" ht="14.4">
      <c r="J570" s="98"/>
      <c r="K570" s="98"/>
      <c r="L570" s="98"/>
    </row>
    <row r="571" spans="10:12" ht="14.4">
      <c r="J571" s="98"/>
      <c r="K571" s="98"/>
      <c r="L571" s="98"/>
    </row>
    <row r="572" spans="10:12" ht="14.4">
      <c r="J572" s="98"/>
      <c r="K572" s="98"/>
      <c r="L572" s="98"/>
    </row>
    <row r="573" spans="10:12" ht="14.4">
      <c r="J573" s="98"/>
      <c r="K573" s="98"/>
      <c r="L573" s="98"/>
    </row>
    <row r="574" spans="10:12" ht="14.4">
      <c r="J574" s="98"/>
      <c r="K574" s="98"/>
      <c r="L574" s="98"/>
    </row>
    <row r="575" spans="10:12" ht="14.4">
      <c r="J575" s="98"/>
      <c r="K575" s="98"/>
      <c r="L575" s="98"/>
    </row>
    <row r="576" spans="10:12" ht="14.4">
      <c r="J576" s="98"/>
      <c r="K576" s="98"/>
      <c r="L576" s="98"/>
    </row>
    <row r="577" spans="10:12" ht="14.4">
      <c r="J577" s="98"/>
      <c r="K577" s="98"/>
      <c r="L577" s="98"/>
    </row>
    <row r="578" spans="10:12" ht="14.4">
      <c r="J578" s="98"/>
      <c r="K578" s="98"/>
      <c r="L578" s="98"/>
    </row>
    <row r="579" spans="10:12" ht="14.4">
      <c r="J579" s="98"/>
      <c r="K579" s="98"/>
      <c r="L579" s="98"/>
    </row>
    <row r="580" spans="10:12" ht="14.4">
      <c r="J580" s="98"/>
      <c r="K580" s="98"/>
      <c r="L580" s="98"/>
    </row>
    <row r="581" spans="10:12" ht="14.4">
      <c r="J581" s="98"/>
      <c r="K581" s="98"/>
      <c r="L581" s="98"/>
    </row>
    <row r="582" spans="10:12" ht="14.4">
      <c r="J582" s="98"/>
      <c r="K582" s="98"/>
      <c r="L582" s="98"/>
    </row>
    <row r="583" spans="10:12" ht="14.4">
      <c r="J583" s="98"/>
      <c r="K583" s="98"/>
      <c r="L583" s="98"/>
    </row>
    <row r="584" spans="10:12" ht="14.4">
      <c r="J584" s="98"/>
      <c r="K584" s="98"/>
      <c r="L584" s="98"/>
    </row>
    <row r="585" spans="10:12" ht="14.4">
      <c r="J585" s="98"/>
      <c r="K585" s="98"/>
      <c r="L585" s="98"/>
    </row>
    <row r="586" spans="10:12" ht="14.4">
      <c r="J586" s="98"/>
      <c r="K586" s="98"/>
      <c r="L586" s="98"/>
    </row>
    <row r="587" spans="10:12" ht="14.4">
      <c r="J587" s="98"/>
      <c r="K587" s="98"/>
      <c r="L587" s="98"/>
    </row>
    <row r="588" spans="10:12" ht="14.4">
      <c r="J588" s="98"/>
      <c r="K588" s="98"/>
      <c r="L588" s="98"/>
    </row>
    <row r="589" spans="10:12" ht="14.4">
      <c r="J589" s="98"/>
      <c r="K589" s="98"/>
      <c r="L589" s="98"/>
    </row>
    <row r="590" spans="10:12" ht="14.4">
      <c r="J590" s="98"/>
      <c r="K590" s="98"/>
      <c r="L590" s="98"/>
    </row>
    <row r="591" spans="10:12" ht="14.4">
      <c r="J591" s="98"/>
      <c r="K591" s="98"/>
      <c r="L591" s="98"/>
    </row>
    <row r="592" spans="10:12" ht="14.4">
      <c r="J592" s="98"/>
      <c r="K592" s="98"/>
      <c r="L592" s="98"/>
    </row>
    <row r="593" spans="10:12" ht="14.4">
      <c r="J593" s="98"/>
      <c r="K593" s="98"/>
      <c r="L593" s="98"/>
    </row>
    <row r="594" spans="10:12" ht="14.4">
      <c r="J594" s="98"/>
      <c r="K594" s="98"/>
      <c r="L594" s="98"/>
    </row>
    <row r="595" spans="10:12" ht="14.4">
      <c r="J595" s="98"/>
      <c r="K595" s="98"/>
      <c r="L595" s="98"/>
    </row>
    <row r="596" spans="10:12" ht="14.4">
      <c r="J596" s="98"/>
      <c r="K596" s="98"/>
      <c r="L596" s="98"/>
    </row>
    <row r="597" spans="10:12" ht="14.4">
      <c r="J597" s="98"/>
      <c r="K597" s="98"/>
      <c r="L597" s="98"/>
    </row>
    <row r="598" spans="10:12" ht="14.4">
      <c r="J598" s="98"/>
      <c r="K598" s="98"/>
      <c r="L598" s="98"/>
    </row>
    <row r="599" spans="10:12" ht="14.4">
      <c r="J599" s="98"/>
      <c r="K599" s="98"/>
      <c r="L599" s="98"/>
    </row>
    <row r="600" spans="10:12" ht="14.4">
      <c r="J600" s="98"/>
      <c r="K600" s="98"/>
      <c r="L600" s="98"/>
    </row>
    <row r="601" spans="10:12" ht="14.4">
      <c r="J601" s="98"/>
      <c r="K601" s="98"/>
      <c r="L601" s="98"/>
    </row>
    <row r="602" spans="10:12" ht="14.4">
      <c r="J602" s="98"/>
      <c r="K602" s="98"/>
      <c r="L602" s="98"/>
    </row>
    <row r="603" spans="10:12" ht="14.4">
      <c r="J603" s="98"/>
      <c r="K603" s="98"/>
      <c r="L603" s="98"/>
    </row>
    <row r="604" spans="10:12" ht="14.4">
      <c r="J604" s="98"/>
      <c r="K604" s="98"/>
      <c r="L604" s="98"/>
    </row>
    <row r="605" spans="10:12" ht="14.4">
      <c r="J605" s="98"/>
      <c r="K605" s="98"/>
      <c r="L605" s="98"/>
    </row>
    <row r="606" spans="10:12" ht="14.4">
      <c r="J606" s="98"/>
      <c r="K606" s="98"/>
      <c r="L606" s="98"/>
    </row>
    <row r="607" spans="10:12" ht="14.4">
      <c r="J607" s="98"/>
      <c r="K607" s="98"/>
      <c r="L607" s="98"/>
    </row>
    <row r="608" spans="10:12" ht="14.4">
      <c r="J608" s="98"/>
      <c r="K608" s="98"/>
      <c r="L608" s="98"/>
    </row>
    <row r="609" spans="10:12" ht="14.4">
      <c r="J609" s="98"/>
      <c r="K609" s="98"/>
      <c r="L609" s="98"/>
    </row>
    <row r="610" spans="10:12" ht="14.4">
      <c r="J610" s="98"/>
      <c r="K610" s="98"/>
      <c r="L610" s="98"/>
    </row>
    <row r="611" spans="10:12" ht="14.4">
      <c r="J611" s="98"/>
      <c r="K611" s="98"/>
      <c r="L611" s="98"/>
    </row>
    <row r="612" spans="10:12" ht="14.4">
      <c r="J612" s="98"/>
      <c r="K612" s="98"/>
      <c r="L612" s="98"/>
    </row>
    <row r="613" spans="10:12" ht="14.4">
      <c r="J613" s="98"/>
      <c r="K613" s="98"/>
      <c r="L613" s="98"/>
    </row>
    <row r="614" spans="10:12" ht="14.4">
      <c r="J614" s="98"/>
      <c r="K614" s="98"/>
      <c r="L614" s="98"/>
    </row>
    <row r="615" spans="10:12" ht="14.4">
      <c r="J615" s="98"/>
      <c r="K615" s="98"/>
      <c r="L615" s="98"/>
    </row>
    <row r="616" spans="10:12" ht="14.4">
      <c r="J616" s="98"/>
      <c r="K616" s="98"/>
      <c r="L616" s="98"/>
    </row>
    <row r="617" spans="10:12" ht="14.4">
      <c r="J617" s="98"/>
      <c r="K617" s="98"/>
      <c r="L617" s="98"/>
    </row>
    <row r="618" spans="10:12" ht="14.4">
      <c r="J618" s="98"/>
      <c r="K618" s="98"/>
      <c r="L618" s="98"/>
    </row>
    <row r="619" spans="10:12" ht="14.4">
      <c r="J619" s="98"/>
      <c r="K619" s="98"/>
      <c r="L619" s="98"/>
    </row>
    <row r="620" spans="10:12" ht="14.4">
      <c r="J620" s="98"/>
      <c r="K620" s="98"/>
      <c r="L620" s="98"/>
    </row>
    <row r="621" spans="10:12" ht="14.4">
      <c r="J621" s="98"/>
      <c r="K621" s="98"/>
      <c r="L621" s="98"/>
    </row>
    <row r="622" spans="10:12" ht="14.4">
      <c r="J622" s="98"/>
      <c r="K622" s="98"/>
      <c r="L622" s="98"/>
    </row>
    <row r="623" spans="10:12" ht="14.4">
      <c r="J623" s="98"/>
      <c r="K623" s="98"/>
      <c r="L623" s="98"/>
    </row>
    <row r="624" spans="10:12" ht="14.4">
      <c r="J624" s="98"/>
      <c r="K624" s="98"/>
      <c r="L624" s="98"/>
    </row>
    <row r="625" spans="10:12" ht="14.4">
      <c r="J625" s="98"/>
      <c r="K625" s="98"/>
      <c r="L625" s="98"/>
    </row>
    <row r="626" spans="10:12" ht="14.4">
      <c r="J626" s="98"/>
      <c r="K626" s="98"/>
      <c r="L626" s="98"/>
    </row>
    <row r="627" spans="10:12" ht="14.4">
      <c r="J627" s="98"/>
      <c r="K627" s="98"/>
      <c r="L627" s="98"/>
    </row>
    <row r="628" spans="10:12" ht="14.4">
      <c r="J628" s="98"/>
      <c r="K628" s="98"/>
      <c r="L628" s="98"/>
    </row>
    <row r="629" spans="10:12" ht="14.4">
      <c r="J629" s="98"/>
      <c r="K629" s="98"/>
      <c r="L629" s="98"/>
    </row>
    <row r="630" spans="10:12" ht="14.4">
      <c r="J630" s="98"/>
      <c r="K630" s="98"/>
      <c r="L630" s="98"/>
    </row>
    <row r="631" spans="10:12" ht="14.4">
      <c r="J631" s="98"/>
      <c r="K631" s="98"/>
      <c r="L631" s="98"/>
    </row>
    <row r="632" spans="10:12" ht="14.4">
      <c r="J632" s="98"/>
      <c r="K632" s="98"/>
      <c r="L632" s="98"/>
    </row>
    <row r="633" spans="10:12" ht="14.4">
      <c r="J633" s="98"/>
      <c r="K633" s="98"/>
      <c r="L633" s="98"/>
    </row>
    <row r="634" spans="10:12" ht="14.4">
      <c r="J634" s="98"/>
      <c r="K634" s="98"/>
      <c r="L634" s="98"/>
    </row>
    <row r="635" spans="10:12" ht="14.4">
      <c r="J635" s="98"/>
      <c r="K635" s="98"/>
      <c r="L635" s="98"/>
    </row>
    <row r="636" spans="10:12" ht="14.4">
      <c r="J636" s="98"/>
      <c r="K636" s="98"/>
      <c r="L636" s="98"/>
    </row>
    <row r="637" spans="10:12" ht="14.4">
      <c r="J637" s="98"/>
      <c r="K637" s="98"/>
      <c r="L637" s="98"/>
    </row>
    <row r="638" spans="10:12" ht="14.4">
      <c r="J638" s="98"/>
      <c r="K638" s="98"/>
      <c r="L638" s="98"/>
    </row>
    <row r="639" spans="10:12" ht="14.4">
      <c r="J639" s="98"/>
      <c r="K639" s="98"/>
      <c r="L639" s="98"/>
    </row>
    <row r="640" spans="10:12" ht="14.4">
      <c r="J640" s="98"/>
      <c r="K640" s="98"/>
      <c r="L640" s="98"/>
    </row>
    <row r="641" spans="10:12" ht="14.4">
      <c r="J641" s="98"/>
      <c r="K641" s="98"/>
      <c r="L641" s="98"/>
    </row>
    <row r="642" spans="10:12" ht="14.4">
      <c r="J642" s="98"/>
      <c r="K642" s="98"/>
      <c r="L642" s="98"/>
    </row>
    <row r="643" spans="10:12" ht="14.4">
      <c r="J643" s="98"/>
      <c r="K643" s="98"/>
      <c r="L643" s="98"/>
    </row>
    <row r="644" spans="10:12" ht="14.4">
      <c r="J644" s="98"/>
      <c r="K644" s="98"/>
      <c r="L644" s="98"/>
    </row>
    <row r="645" spans="10:12" ht="14.4">
      <c r="J645" s="98"/>
      <c r="K645" s="98"/>
      <c r="L645" s="98"/>
    </row>
    <row r="646" spans="10:12" ht="14.4">
      <c r="J646" s="98"/>
      <c r="K646" s="98"/>
      <c r="L646" s="98"/>
    </row>
    <row r="647" spans="10:12" ht="14.4">
      <c r="J647" s="98"/>
      <c r="K647" s="98"/>
      <c r="L647" s="98"/>
    </row>
    <row r="648" spans="10:12" ht="14.4">
      <c r="J648" s="98"/>
      <c r="K648" s="98"/>
      <c r="L648" s="98"/>
    </row>
    <row r="649" spans="10:12" ht="14.4">
      <c r="J649" s="98"/>
      <c r="K649" s="98"/>
      <c r="L649" s="98"/>
    </row>
    <row r="650" spans="10:12" ht="14.4">
      <c r="J650" s="98"/>
      <c r="K650" s="98"/>
      <c r="L650" s="98"/>
    </row>
    <row r="651" spans="10:12" ht="14.4">
      <c r="J651" s="98"/>
      <c r="K651" s="98"/>
      <c r="L651" s="98"/>
    </row>
    <row r="652" spans="10:12" ht="14.4">
      <c r="J652" s="98"/>
      <c r="K652" s="98"/>
      <c r="L652" s="98"/>
    </row>
    <row r="653" spans="10:12" ht="14.4">
      <c r="J653" s="98"/>
      <c r="K653" s="98"/>
      <c r="L653" s="98"/>
    </row>
    <row r="654" spans="10:12" ht="14.4">
      <c r="J654" s="98"/>
      <c r="K654" s="98"/>
      <c r="L654" s="98"/>
    </row>
    <row r="655" spans="10:12" ht="14.4">
      <c r="J655" s="98"/>
      <c r="K655" s="98"/>
      <c r="L655" s="98"/>
    </row>
    <row r="656" spans="10:12" ht="14.4">
      <c r="J656" s="98"/>
      <c r="K656" s="98"/>
      <c r="L656" s="98"/>
    </row>
    <row r="657" spans="10:12" ht="14.4">
      <c r="J657" s="98"/>
      <c r="K657" s="98"/>
      <c r="L657" s="98"/>
    </row>
    <row r="658" spans="10:12" ht="14.4">
      <c r="J658" s="98"/>
      <c r="K658" s="98"/>
      <c r="L658" s="98"/>
    </row>
    <row r="659" spans="10:12" ht="14.4">
      <c r="J659" s="98"/>
      <c r="K659" s="98"/>
      <c r="L659" s="98"/>
    </row>
    <row r="660" spans="10:12" ht="14.4">
      <c r="J660" s="98"/>
      <c r="K660" s="98"/>
      <c r="L660" s="98"/>
    </row>
    <row r="661" spans="10:12" ht="14.4">
      <c r="J661" s="98"/>
      <c r="K661" s="98"/>
      <c r="L661" s="98"/>
    </row>
    <row r="662" spans="10:12" ht="14.4">
      <c r="J662" s="98"/>
      <c r="K662" s="98"/>
      <c r="L662" s="98"/>
    </row>
    <row r="663" spans="10:12" ht="14.4">
      <c r="J663" s="98"/>
      <c r="K663" s="98"/>
      <c r="L663" s="98"/>
    </row>
    <row r="664" spans="10:12" ht="14.4">
      <c r="J664" s="98"/>
      <c r="K664" s="98"/>
      <c r="L664" s="98"/>
    </row>
    <row r="665" spans="10:12" ht="14.4">
      <c r="J665" s="98"/>
      <c r="K665" s="98"/>
      <c r="L665" s="98"/>
    </row>
    <row r="666" spans="10:12" ht="14.4">
      <c r="J666" s="98"/>
      <c r="K666" s="98"/>
      <c r="L666" s="98"/>
    </row>
    <row r="667" spans="10:12" ht="14.4">
      <c r="J667" s="98"/>
      <c r="K667" s="98"/>
      <c r="L667" s="98"/>
    </row>
    <row r="668" spans="10:12" ht="14.4">
      <c r="J668" s="98"/>
      <c r="K668" s="98"/>
      <c r="L668" s="98"/>
    </row>
    <row r="669" spans="10:12" ht="14.4">
      <c r="J669" s="98"/>
      <c r="K669" s="98"/>
      <c r="L669" s="98"/>
    </row>
    <row r="670" spans="10:12" ht="14.4">
      <c r="J670" s="98"/>
      <c r="K670" s="98"/>
      <c r="L670" s="98"/>
    </row>
    <row r="671" spans="10:12" ht="14.4">
      <c r="J671" s="98"/>
      <c r="K671" s="98"/>
      <c r="L671" s="98"/>
    </row>
    <row r="672" spans="10:12" ht="14.4">
      <c r="J672" s="98"/>
      <c r="K672" s="98"/>
      <c r="L672" s="98"/>
    </row>
    <row r="673" spans="10:12" ht="14.4">
      <c r="J673" s="98"/>
      <c r="K673" s="98"/>
      <c r="L673" s="98"/>
    </row>
    <row r="674" spans="10:12" ht="14.4">
      <c r="J674" s="98"/>
      <c r="K674" s="98"/>
      <c r="L674" s="98"/>
    </row>
    <row r="675" spans="10:12" ht="14.4">
      <c r="J675" s="98"/>
      <c r="K675" s="98"/>
      <c r="L675" s="98"/>
    </row>
    <row r="676" spans="10:12" ht="14.4">
      <c r="J676" s="98"/>
      <c r="K676" s="98"/>
      <c r="L676" s="98"/>
    </row>
    <row r="677" spans="10:12" ht="14.4">
      <c r="J677" s="98"/>
      <c r="K677" s="98"/>
      <c r="L677" s="98"/>
    </row>
    <row r="678" spans="10:12" ht="14.4">
      <c r="J678" s="98"/>
      <c r="K678" s="98"/>
      <c r="L678" s="98"/>
    </row>
    <row r="679" spans="10:12" ht="14.4">
      <c r="J679" s="98"/>
      <c r="K679" s="98"/>
      <c r="L679" s="98"/>
    </row>
    <row r="680" spans="10:12" ht="14.4">
      <c r="J680" s="98"/>
      <c r="K680" s="98"/>
      <c r="L680" s="98"/>
    </row>
    <row r="681" spans="10:12" ht="14.4">
      <c r="J681" s="98"/>
      <c r="K681" s="98"/>
      <c r="L681" s="98"/>
    </row>
    <row r="682" spans="10:12" ht="14.4">
      <c r="J682" s="98"/>
      <c r="K682" s="98"/>
      <c r="L682" s="98"/>
    </row>
    <row r="683" spans="10:12" ht="14.4">
      <c r="J683" s="98"/>
      <c r="K683" s="98"/>
      <c r="L683" s="98"/>
    </row>
    <row r="684" spans="10:12" ht="14.4">
      <c r="J684" s="98"/>
      <c r="K684" s="98"/>
      <c r="L684" s="98"/>
    </row>
    <row r="685" spans="10:12" ht="14.4">
      <c r="J685" s="98"/>
      <c r="K685" s="98"/>
      <c r="L685" s="98"/>
    </row>
    <row r="686" spans="10:12" ht="14.4">
      <c r="J686" s="98"/>
      <c r="K686" s="98"/>
      <c r="L686" s="98"/>
    </row>
    <row r="687" spans="10:12" ht="14.4">
      <c r="J687" s="98"/>
      <c r="K687" s="98"/>
      <c r="L687" s="98"/>
    </row>
    <row r="688" spans="10:12" ht="14.4">
      <c r="J688" s="98"/>
      <c r="K688" s="98"/>
      <c r="L688" s="98"/>
    </row>
    <row r="689" spans="10:12" ht="14.4">
      <c r="J689" s="98"/>
      <c r="K689" s="98"/>
      <c r="L689" s="98"/>
    </row>
    <row r="690" spans="10:12" ht="14.4">
      <c r="J690" s="98"/>
      <c r="K690" s="98"/>
      <c r="L690" s="98"/>
    </row>
    <row r="691" spans="10:12" ht="14.4">
      <c r="J691" s="98"/>
      <c r="K691" s="98"/>
      <c r="L691" s="98"/>
    </row>
    <row r="692" spans="10:12" ht="14.4">
      <c r="J692" s="98"/>
      <c r="K692" s="98"/>
      <c r="L692" s="98"/>
    </row>
    <row r="693" spans="10:12" ht="14.4">
      <c r="J693" s="98"/>
      <c r="K693" s="98"/>
      <c r="L693" s="98"/>
    </row>
    <row r="694" spans="10:12" ht="14.4">
      <c r="J694" s="98"/>
      <c r="K694" s="98"/>
      <c r="L694" s="98"/>
    </row>
    <row r="695" spans="10:12" ht="14.4">
      <c r="J695" s="98"/>
      <c r="K695" s="98"/>
      <c r="L695" s="98"/>
    </row>
    <row r="696" spans="10:12" ht="14.4">
      <c r="J696" s="98"/>
      <c r="K696" s="98"/>
      <c r="L696" s="98"/>
    </row>
    <row r="697" spans="10:12" ht="14.4">
      <c r="J697" s="98"/>
      <c r="K697" s="98"/>
      <c r="L697" s="98"/>
    </row>
    <row r="698" spans="10:12" ht="14.4">
      <c r="J698" s="98"/>
      <c r="K698" s="98"/>
      <c r="L698" s="98"/>
    </row>
    <row r="699" spans="10:12" ht="14.4">
      <c r="J699" s="98"/>
      <c r="K699" s="98"/>
      <c r="L699" s="98"/>
    </row>
    <row r="700" spans="10:12" ht="14.4">
      <c r="J700" s="98"/>
      <c r="K700" s="98"/>
      <c r="L700" s="98"/>
    </row>
    <row r="701" spans="10:12" ht="14.4">
      <c r="J701" s="98"/>
      <c r="K701" s="98"/>
      <c r="L701" s="98"/>
    </row>
    <row r="702" spans="10:12" ht="14.4">
      <c r="J702" s="98"/>
      <c r="K702" s="98"/>
      <c r="L702" s="98"/>
    </row>
    <row r="703" spans="10:12" ht="14.4">
      <c r="J703" s="98"/>
      <c r="K703" s="98"/>
      <c r="L703" s="98"/>
    </row>
    <row r="704" spans="10:12" ht="14.4">
      <c r="J704" s="98"/>
      <c r="K704" s="98"/>
      <c r="L704" s="98"/>
    </row>
    <row r="705" spans="10:12" ht="14.4">
      <c r="J705" s="98"/>
      <c r="K705" s="98"/>
      <c r="L705" s="98"/>
    </row>
    <row r="706" spans="10:12" ht="14.4">
      <c r="J706" s="98"/>
      <c r="K706" s="98"/>
      <c r="L706" s="98"/>
    </row>
    <row r="707" spans="10:12" ht="14.4">
      <c r="J707" s="98"/>
      <c r="K707" s="98"/>
      <c r="L707" s="98"/>
    </row>
    <row r="708" spans="10:12" ht="14.4">
      <c r="J708" s="98"/>
      <c r="K708" s="98"/>
      <c r="L708" s="98"/>
    </row>
    <row r="709" spans="10:12" ht="14.4">
      <c r="J709" s="98"/>
      <c r="K709" s="98"/>
      <c r="L709" s="98"/>
    </row>
    <row r="710" spans="10:12" ht="14.4">
      <c r="J710" s="98"/>
      <c r="K710" s="98"/>
      <c r="L710" s="98"/>
    </row>
    <row r="711" spans="10:12" ht="14.4">
      <c r="J711" s="98"/>
      <c r="K711" s="98"/>
      <c r="L711" s="98"/>
    </row>
    <row r="712" spans="10:12" ht="14.4">
      <c r="J712" s="98"/>
      <c r="K712" s="98"/>
      <c r="L712" s="98"/>
    </row>
    <row r="713" spans="10:12" ht="14.4">
      <c r="J713" s="98"/>
      <c r="K713" s="98"/>
      <c r="L713" s="98"/>
    </row>
    <row r="714" spans="10:12" ht="14.4">
      <c r="J714" s="98"/>
      <c r="K714" s="98"/>
      <c r="L714" s="98"/>
    </row>
    <row r="715" spans="10:12" ht="14.4">
      <c r="J715" s="98"/>
      <c r="K715" s="98"/>
      <c r="L715" s="98"/>
    </row>
    <row r="716" spans="10:12" ht="14.4">
      <c r="J716" s="98"/>
      <c r="K716" s="98"/>
      <c r="L716" s="98"/>
    </row>
    <row r="717" spans="10:12" ht="14.4">
      <c r="J717" s="98"/>
      <c r="K717" s="98"/>
      <c r="L717" s="98"/>
    </row>
    <row r="718" spans="10:12" ht="14.4">
      <c r="J718" s="98"/>
      <c r="K718" s="98"/>
      <c r="L718" s="98"/>
    </row>
    <row r="719" spans="10:12" ht="14.4">
      <c r="J719" s="98"/>
      <c r="K719" s="98"/>
      <c r="L719" s="98"/>
    </row>
    <row r="720" spans="10:12" ht="14.4">
      <c r="J720" s="98"/>
      <c r="K720" s="98"/>
      <c r="L720" s="98"/>
    </row>
    <row r="721" spans="10:12" ht="14.4">
      <c r="J721" s="98"/>
      <c r="K721" s="98"/>
      <c r="L721" s="98"/>
    </row>
    <row r="722" spans="10:12" ht="14.4">
      <c r="J722" s="98"/>
      <c r="K722" s="98"/>
      <c r="L722" s="98"/>
    </row>
    <row r="723" spans="10:12" ht="14.4">
      <c r="J723" s="98"/>
      <c r="K723" s="98"/>
      <c r="L723" s="98"/>
    </row>
    <row r="724" spans="10:12" ht="14.4">
      <c r="J724" s="98"/>
      <c r="K724" s="98"/>
      <c r="L724" s="98"/>
    </row>
    <row r="725" spans="10:12" ht="14.4">
      <c r="J725" s="98"/>
      <c r="K725" s="98"/>
      <c r="L725" s="98"/>
    </row>
    <row r="726" spans="10:12" ht="14.4">
      <c r="J726" s="98"/>
      <c r="K726" s="98"/>
      <c r="L726" s="98"/>
    </row>
    <row r="727" spans="10:12" ht="14.4">
      <c r="J727" s="98"/>
      <c r="K727" s="98"/>
      <c r="L727" s="98"/>
    </row>
    <row r="728" spans="10:12" ht="14.4">
      <c r="J728" s="98"/>
      <c r="K728" s="98"/>
      <c r="L728" s="98"/>
    </row>
    <row r="729" spans="10:12" ht="14.4">
      <c r="J729" s="98"/>
      <c r="K729" s="98"/>
      <c r="L729" s="98"/>
    </row>
    <row r="730" spans="10:12" ht="14.4">
      <c r="J730" s="98"/>
      <c r="K730" s="98"/>
      <c r="L730" s="98"/>
    </row>
    <row r="731" spans="10:12" ht="14.4">
      <c r="J731" s="98"/>
      <c r="K731" s="98"/>
      <c r="L731" s="98"/>
    </row>
    <row r="732" spans="10:12" ht="14.4">
      <c r="J732" s="98"/>
      <c r="K732" s="98"/>
      <c r="L732" s="98"/>
    </row>
    <row r="733" spans="10:12" ht="14.4">
      <c r="J733" s="98"/>
      <c r="K733" s="98"/>
      <c r="L733" s="98"/>
    </row>
    <row r="734" spans="10:12" ht="14.4">
      <c r="J734" s="98"/>
      <c r="K734" s="98"/>
      <c r="L734" s="98"/>
    </row>
    <row r="735" spans="10:12" ht="14.4">
      <c r="J735" s="98"/>
      <c r="K735" s="98"/>
      <c r="L735" s="98"/>
    </row>
    <row r="736" spans="10:12" ht="14.4">
      <c r="J736" s="98"/>
      <c r="K736" s="98"/>
      <c r="L736" s="98"/>
    </row>
    <row r="737" spans="10:12" ht="14.4">
      <c r="J737" s="98"/>
      <c r="K737" s="98"/>
      <c r="L737" s="98"/>
    </row>
    <row r="738" spans="10:12" ht="14.4">
      <c r="J738" s="98"/>
      <c r="K738" s="98"/>
      <c r="L738" s="98"/>
    </row>
    <row r="739" spans="10:12" ht="14.4">
      <c r="J739" s="98"/>
      <c r="K739" s="98"/>
      <c r="L739" s="98"/>
    </row>
    <row r="740" spans="10:12" ht="14.4">
      <c r="J740" s="98"/>
      <c r="K740" s="98"/>
      <c r="L740" s="98"/>
    </row>
    <row r="741" spans="10:12" ht="14.4">
      <c r="J741" s="98"/>
      <c r="K741" s="98"/>
      <c r="L741" s="98"/>
    </row>
    <row r="742" spans="10:12" ht="14.4">
      <c r="J742" s="98"/>
      <c r="K742" s="98"/>
      <c r="L742" s="98"/>
    </row>
    <row r="743" spans="10:12" ht="14.4">
      <c r="J743" s="98"/>
      <c r="K743" s="98"/>
      <c r="L743" s="98"/>
    </row>
    <row r="744" spans="10:12" ht="14.4">
      <c r="J744" s="98"/>
      <c r="K744" s="98"/>
      <c r="L744" s="98"/>
    </row>
    <row r="745" spans="10:12" ht="14.4">
      <c r="J745" s="98"/>
      <c r="K745" s="98"/>
      <c r="L745" s="98"/>
    </row>
    <row r="746" spans="10:12" ht="14.4">
      <c r="J746" s="98"/>
      <c r="K746" s="98"/>
      <c r="L746" s="98"/>
    </row>
    <row r="747" spans="10:12" ht="14.4">
      <c r="J747" s="98"/>
      <c r="K747" s="98"/>
      <c r="L747" s="98"/>
    </row>
    <row r="748" spans="10:12" ht="14.4">
      <c r="J748" s="98"/>
      <c r="K748" s="98"/>
      <c r="L748" s="98"/>
    </row>
    <row r="749" spans="10:12" ht="14.4">
      <c r="J749" s="98"/>
      <c r="K749" s="98"/>
      <c r="L749" s="98"/>
    </row>
    <row r="750" spans="10:12" ht="14.4">
      <c r="J750" s="98"/>
      <c r="K750" s="98"/>
      <c r="L750" s="98"/>
    </row>
    <row r="751" spans="10:12" ht="14.4">
      <c r="J751" s="98"/>
      <c r="K751" s="98"/>
      <c r="L751" s="98"/>
    </row>
    <row r="752" spans="10:12" ht="14.4">
      <c r="J752" s="98"/>
      <c r="K752" s="98"/>
      <c r="L752" s="98"/>
    </row>
    <row r="753" spans="10:12" ht="14.4">
      <c r="J753" s="98"/>
      <c r="K753" s="98"/>
      <c r="L753" s="98"/>
    </row>
    <row r="754" spans="10:12" ht="14.4">
      <c r="J754" s="98"/>
      <c r="K754" s="98"/>
      <c r="L754" s="98"/>
    </row>
    <row r="755" spans="10:12" ht="14.4">
      <c r="J755" s="98"/>
      <c r="K755" s="98"/>
      <c r="L755" s="98"/>
    </row>
    <row r="756" spans="10:12" ht="14.4">
      <c r="J756" s="98"/>
      <c r="K756" s="98"/>
      <c r="L756" s="98"/>
    </row>
    <row r="757" spans="10:12" ht="14.4">
      <c r="J757" s="98"/>
      <c r="K757" s="98"/>
      <c r="L757" s="98"/>
    </row>
    <row r="758" spans="10:12" ht="14.4">
      <c r="J758" s="98"/>
      <c r="K758" s="98"/>
      <c r="L758" s="98"/>
    </row>
    <row r="759" spans="10:12" ht="14.4">
      <c r="J759" s="98"/>
      <c r="K759" s="98"/>
      <c r="L759" s="98"/>
    </row>
    <row r="760" spans="10:12" ht="14.4">
      <c r="J760" s="98"/>
      <c r="K760" s="98"/>
      <c r="L760" s="98"/>
    </row>
    <row r="761" spans="10:12" ht="14.4">
      <c r="J761" s="98"/>
      <c r="K761" s="98"/>
      <c r="L761" s="98"/>
    </row>
    <row r="762" spans="10:12" ht="14.4">
      <c r="J762" s="98"/>
      <c r="K762" s="98"/>
      <c r="L762" s="98"/>
    </row>
    <row r="763" spans="10:12" ht="14.4">
      <c r="J763" s="98"/>
      <c r="K763" s="98"/>
      <c r="L763" s="98"/>
    </row>
    <row r="764" spans="10:12" ht="14.4">
      <c r="J764" s="98"/>
      <c r="K764" s="98"/>
      <c r="L764" s="98"/>
    </row>
    <row r="765" spans="10:12" ht="14.4">
      <c r="J765" s="98"/>
      <c r="K765" s="98"/>
      <c r="L765" s="98"/>
    </row>
    <row r="766" spans="10:12" ht="14.4">
      <c r="J766" s="98"/>
      <c r="K766" s="98"/>
      <c r="L766" s="98"/>
    </row>
    <row r="767" spans="10:12" ht="14.4">
      <c r="J767" s="98"/>
      <c r="K767" s="98"/>
      <c r="L767" s="98"/>
    </row>
    <row r="768" spans="10:12" ht="14.4">
      <c r="J768" s="98"/>
      <c r="K768" s="98"/>
      <c r="L768" s="98"/>
    </row>
    <row r="769" spans="10:12" ht="14.4">
      <c r="J769" s="98"/>
      <c r="K769" s="98"/>
      <c r="L769" s="98"/>
    </row>
    <row r="770" spans="10:12" ht="14.4">
      <c r="J770" s="98"/>
      <c r="K770" s="98"/>
      <c r="L770" s="98"/>
    </row>
    <row r="771" spans="10:12" ht="14.4">
      <c r="J771" s="98"/>
      <c r="K771" s="98"/>
      <c r="L771" s="98"/>
    </row>
    <row r="772" spans="10:12" ht="14.4">
      <c r="J772" s="98"/>
      <c r="K772" s="98"/>
      <c r="L772" s="98"/>
    </row>
    <row r="773" spans="10:12" ht="14.4">
      <c r="J773" s="98"/>
      <c r="K773" s="98"/>
      <c r="L773" s="98"/>
    </row>
    <row r="774" spans="10:12" ht="14.4">
      <c r="J774" s="98"/>
      <c r="K774" s="98"/>
      <c r="L774" s="98"/>
    </row>
    <row r="775" spans="10:12" ht="14.4">
      <c r="J775" s="98"/>
      <c r="K775" s="98"/>
      <c r="L775" s="98"/>
    </row>
    <row r="776" spans="10:12" ht="14.4">
      <c r="J776" s="98"/>
      <c r="K776" s="98"/>
      <c r="L776" s="98"/>
    </row>
    <row r="777" spans="10:12" ht="14.4">
      <c r="J777" s="98"/>
      <c r="K777" s="98"/>
      <c r="L777" s="98"/>
    </row>
    <row r="778" spans="10:12" ht="14.4">
      <c r="J778" s="98"/>
      <c r="K778" s="98"/>
      <c r="L778" s="98"/>
    </row>
    <row r="779" spans="10:12" ht="14.4">
      <c r="J779" s="98"/>
      <c r="K779" s="98"/>
      <c r="L779" s="98"/>
    </row>
    <row r="780" spans="10:12" ht="14.4">
      <c r="J780" s="98"/>
      <c r="K780" s="98"/>
      <c r="L780" s="98"/>
    </row>
    <row r="781" spans="10:12" ht="14.4">
      <c r="J781" s="98"/>
      <c r="K781" s="98"/>
      <c r="L781" s="98"/>
    </row>
    <row r="782" spans="10:12" ht="14.4">
      <c r="J782" s="98"/>
      <c r="K782" s="98"/>
      <c r="L782" s="98"/>
    </row>
    <row r="783" spans="10:12" ht="14.4">
      <c r="J783" s="98"/>
      <c r="K783" s="98"/>
      <c r="L783" s="98"/>
    </row>
    <row r="784" spans="10:12" ht="14.4">
      <c r="J784" s="98"/>
      <c r="K784" s="98"/>
      <c r="L784" s="98"/>
    </row>
    <row r="785" spans="10:12" ht="14.4">
      <c r="J785" s="98"/>
      <c r="K785" s="98"/>
      <c r="L785" s="98"/>
    </row>
    <row r="786" spans="10:12" ht="14.4">
      <c r="J786" s="98"/>
      <c r="K786" s="98"/>
      <c r="L786" s="98"/>
    </row>
    <row r="787" spans="10:12" ht="14.4">
      <c r="J787" s="98"/>
      <c r="K787" s="98"/>
      <c r="L787" s="98"/>
    </row>
    <row r="788" spans="10:12" ht="14.4">
      <c r="J788" s="98"/>
      <c r="K788" s="98"/>
      <c r="L788" s="98"/>
    </row>
    <row r="789" spans="10:12" ht="14.4">
      <c r="J789" s="98"/>
      <c r="K789" s="98"/>
      <c r="L789" s="98"/>
    </row>
    <row r="790" spans="10:12" ht="14.4">
      <c r="J790" s="98"/>
      <c r="K790" s="98"/>
      <c r="L790" s="98"/>
    </row>
    <row r="791" spans="10:12" ht="14.4">
      <c r="J791" s="98"/>
      <c r="K791" s="98"/>
      <c r="L791" s="98"/>
    </row>
    <row r="792" spans="10:12" ht="14.4">
      <c r="J792" s="98"/>
      <c r="K792" s="98"/>
      <c r="L792" s="98"/>
    </row>
    <row r="793" spans="10:12" ht="14.4">
      <c r="J793" s="98"/>
      <c r="K793" s="98"/>
      <c r="L793" s="98"/>
    </row>
    <row r="794" spans="10:12" ht="14.4">
      <c r="J794" s="98"/>
      <c r="K794" s="98"/>
      <c r="L794" s="98"/>
    </row>
    <row r="795" spans="10:12" ht="14.4">
      <c r="J795" s="98"/>
      <c r="K795" s="98"/>
      <c r="L795" s="98"/>
    </row>
    <row r="796" spans="10:12" ht="14.4">
      <c r="J796" s="98"/>
      <c r="K796" s="98"/>
      <c r="L796" s="98"/>
    </row>
    <row r="797" spans="10:12" ht="14.4">
      <c r="J797" s="98"/>
      <c r="K797" s="98"/>
      <c r="L797" s="98"/>
    </row>
    <row r="798" spans="10:12" ht="14.4">
      <c r="J798" s="98"/>
      <c r="K798" s="98"/>
      <c r="L798" s="98"/>
    </row>
    <row r="799" spans="10:12" ht="14.4">
      <c r="J799" s="98"/>
      <c r="K799" s="98"/>
      <c r="L799" s="98"/>
    </row>
    <row r="800" spans="10:12" ht="14.4">
      <c r="J800" s="98"/>
      <c r="K800" s="98"/>
      <c r="L800" s="98"/>
    </row>
    <row r="801" spans="10:12" ht="14.4">
      <c r="J801" s="98"/>
      <c r="K801" s="98"/>
      <c r="L801" s="98"/>
    </row>
    <row r="802" spans="10:12" ht="14.4">
      <c r="J802" s="98"/>
      <c r="K802" s="98"/>
      <c r="L802" s="98"/>
    </row>
    <row r="803" spans="10:12" ht="14.4">
      <c r="J803" s="98"/>
      <c r="K803" s="98"/>
      <c r="L803" s="98"/>
    </row>
    <row r="804" spans="10:12" ht="14.4">
      <c r="J804" s="98"/>
      <c r="K804" s="98"/>
      <c r="L804" s="98"/>
    </row>
    <row r="805" spans="10:12" ht="14.4">
      <c r="J805" s="98"/>
      <c r="K805" s="98"/>
      <c r="L805" s="98"/>
    </row>
    <row r="806" spans="10:12" ht="14.4">
      <c r="J806" s="98"/>
      <c r="K806" s="98"/>
      <c r="L806" s="98"/>
    </row>
    <row r="807" spans="10:12" ht="14.4">
      <c r="J807" s="98"/>
      <c r="K807" s="98"/>
      <c r="L807" s="98"/>
    </row>
    <row r="808" spans="10:12" ht="14.4">
      <c r="J808" s="98"/>
      <c r="K808" s="98"/>
      <c r="L808" s="98"/>
    </row>
    <row r="809" spans="10:12" ht="14.4">
      <c r="J809" s="98"/>
      <c r="K809" s="98"/>
      <c r="L809" s="98"/>
    </row>
    <row r="810" spans="10:12" ht="14.4">
      <c r="J810" s="98"/>
      <c r="K810" s="98"/>
      <c r="L810" s="98"/>
    </row>
    <row r="811" spans="10:12" ht="14.4">
      <c r="J811" s="98"/>
      <c r="K811" s="98"/>
      <c r="L811" s="98"/>
    </row>
    <row r="812" spans="10:12" ht="14.4">
      <c r="J812" s="98"/>
      <c r="K812" s="98"/>
      <c r="L812" s="98"/>
    </row>
    <row r="813" spans="10:12" ht="14.4">
      <c r="J813" s="98"/>
      <c r="K813" s="98"/>
      <c r="L813" s="98"/>
    </row>
    <row r="814" spans="10:12" ht="14.4">
      <c r="J814" s="98"/>
      <c r="K814" s="98"/>
      <c r="L814" s="98"/>
    </row>
    <row r="815" spans="10:12" ht="14.4">
      <c r="J815" s="98"/>
      <c r="K815" s="98"/>
      <c r="L815" s="98"/>
    </row>
    <row r="816" spans="10:12" ht="14.4">
      <c r="J816" s="98"/>
      <c r="K816" s="98"/>
      <c r="L816" s="98"/>
    </row>
    <row r="817" spans="10:12" ht="14.4">
      <c r="J817" s="98"/>
      <c r="K817" s="98"/>
      <c r="L817" s="98"/>
    </row>
    <row r="818" spans="10:12" ht="14.4">
      <c r="J818" s="98"/>
      <c r="K818" s="98"/>
      <c r="L818" s="98"/>
    </row>
    <row r="819" spans="10:12" ht="14.4">
      <c r="J819" s="98"/>
      <c r="K819" s="98"/>
      <c r="L819" s="98"/>
    </row>
    <row r="820" spans="10:12" ht="14.4">
      <c r="J820" s="98"/>
      <c r="K820" s="98"/>
      <c r="L820" s="98"/>
    </row>
    <row r="821" spans="10:12" ht="14.4">
      <c r="J821" s="98"/>
      <c r="K821" s="98"/>
      <c r="L821" s="98"/>
    </row>
    <row r="822" spans="10:12" ht="14.4">
      <c r="J822" s="98"/>
      <c r="K822" s="98"/>
      <c r="L822" s="98"/>
    </row>
    <row r="823" spans="10:12" ht="14.4">
      <c r="J823" s="98"/>
      <c r="K823" s="98"/>
      <c r="L823" s="98"/>
    </row>
    <row r="824" spans="10:12" ht="14.4">
      <c r="J824" s="98"/>
      <c r="K824" s="98"/>
      <c r="L824" s="98"/>
    </row>
    <row r="825" spans="10:12" ht="14.4">
      <c r="J825" s="98"/>
      <c r="K825" s="98"/>
      <c r="L825" s="98"/>
    </row>
    <row r="826" spans="10:12" ht="14.4">
      <c r="J826" s="98"/>
      <c r="K826" s="98"/>
      <c r="L826" s="98"/>
    </row>
    <row r="827" spans="10:12" ht="14.4">
      <c r="J827" s="98"/>
      <c r="K827" s="98"/>
      <c r="L827" s="98"/>
    </row>
    <row r="828" spans="10:12" ht="14.4">
      <c r="J828" s="98"/>
      <c r="K828" s="98"/>
      <c r="L828" s="98"/>
    </row>
    <row r="829" spans="10:12" ht="14.4">
      <c r="J829" s="98"/>
      <c r="K829" s="98"/>
      <c r="L829" s="98"/>
    </row>
    <row r="830" spans="10:12" ht="14.4">
      <c r="J830" s="98"/>
      <c r="K830" s="98"/>
      <c r="L830" s="98"/>
    </row>
    <row r="831" spans="10:12" ht="14.4">
      <c r="J831" s="98"/>
      <c r="K831" s="98"/>
      <c r="L831" s="98"/>
    </row>
    <row r="832" spans="10:12" ht="14.4">
      <c r="J832" s="98"/>
      <c r="K832" s="98"/>
      <c r="L832" s="98"/>
    </row>
    <row r="833" spans="10:12" ht="14.4">
      <c r="J833" s="98"/>
      <c r="K833" s="98"/>
      <c r="L833" s="98"/>
    </row>
    <row r="834" spans="10:12" ht="14.4">
      <c r="J834" s="98"/>
      <c r="K834" s="98"/>
      <c r="L834" s="98"/>
    </row>
    <row r="835" spans="10:12" ht="14.4">
      <c r="J835" s="98"/>
      <c r="K835" s="98"/>
      <c r="L835" s="98"/>
    </row>
    <row r="836" spans="10:12" ht="14.4">
      <c r="J836" s="98"/>
      <c r="K836" s="98"/>
      <c r="L836" s="98"/>
    </row>
    <row r="837" spans="10:12" ht="14.4">
      <c r="J837" s="98"/>
      <c r="K837" s="98"/>
      <c r="L837" s="98"/>
    </row>
    <row r="838" spans="10:12" ht="14.4">
      <c r="J838" s="98"/>
      <c r="K838" s="98"/>
      <c r="L838" s="98"/>
    </row>
    <row r="839" spans="10:12" ht="14.4">
      <c r="J839" s="98"/>
      <c r="K839" s="98"/>
      <c r="L839" s="98"/>
    </row>
    <row r="840" spans="10:12" ht="14.4">
      <c r="J840" s="98"/>
      <c r="K840" s="98"/>
      <c r="L840" s="98"/>
    </row>
    <row r="841" spans="10:12" ht="14.4">
      <c r="J841" s="98"/>
      <c r="K841" s="98"/>
      <c r="L841" s="98"/>
    </row>
    <row r="842" spans="10:12" ht="14.4">
      <c r="J842" s="98"/>
      <c r="K842" s="98"/>
      <c r="L842" s="98"/>
    </row>
    <row r="843" spans="10:12" ht="14.4">
      <c r="J843" s="98"/>
      <c r="K843" s="98"/>
      <c r="L843" s="98"/>
    </row>
    <row r="844" spans="10:12" ht="14.4">
      <c r="J844" s="98"/>
      <c r="K844" s="98"/>
      <c r="L844" s="98"/>
    </row>
    <row r="845" spans="10:12" ht="14.4">
      <c r="J845" s="98"/>
      <c r="K845" s="98"/>
      <c r="L845" s="98"/>
    </row>
    <row r="846" spans="10:12" ht="14.4">
      <c r="J846" s="98"/>
      <c r="K846" s="98"/>
      <c r="L846" s="98"/>
    </row>
    <row r="847" spans="10:12" ht="14.4">
      <c r="J847" s="98"/>
      <c r="K847" s="98"/>
      <c r="L847" s="98"/>
    </row>
    <row r="848" spans="10:12" ht="14.4">
      <c r="J848" s="98"/>
      <c r="K848" s="98"/>
      <c r="L848" s="98"/>
    </row>
    <row r="849" spans="10:12" ht="14.4">
      <c r="J849" s="98"/>
      <c r="K849" s="98"/>
      <c r="L849" s="98"/>
    </row>
    <row r="850" spans="10:12" ht="14.4">
      <c r="J850" s="98"/>
      <c r="K850" s="98"/>
      <c r="L850" s="98"/>
    </row>
    <row r="851" spans="10:12" ht="14.4">
      <c r="J851" s="98"/>
      <c r="K851" s="98"/>
      <c r="L851" s="98"/>
    </row>
    <row r="852" spans="10:12" ht="14.4">
      <c r="J852" s="98"/>
      <c r="K852" s="98"/>
      <c r="L852" s="98"/>
    </row>
    <row r="853" spans="10:12" ht="14.4">
      <c r="J853" s="98"/>
      <c r="K853" s="98"/>
      <c r="L853" s="98"/>
    </row>
    <row r="854" spans="10:12" ht="14.4">
      <c r="J854" s="98"/>
      <c r="K854" s="98"/>
      <c r="L854" s="98"/>
    </row>
    <row r="855" spans="10:12" ht="14.4">
      <c r="J855" s="98"/>
      <c r="K855" s="98"/>
      <c r="L855" s="98"/>
    </row>
    <row r="856" spans="10:12" ht="14.4">
      <c r="J856" s="98"/>
      <c r="K856" s="98"/>
      <c r="L856" s="98"/>
    </row>
    <row r="857" spans="10:12" ht="14.4">
      <c r="J857" s="98"/>
      <c r="K857" s="98"/>
      <c r="L857" s="98"/>
    </row>
    <row r="858" spans="10:12" ht="14.4">
      <c r="J858" s="98"/>
      <c r="K858" s="98"/>
      <c r="L858" s="98"/>
    </row>
    <row r="859" spans="10:12" ht="14.4">
      <c r="J859" s="98"/>
      <c r="K859" s="98"/>
      <c r="L859" s="98"/>
    </row>
    <row r="860" spans="10:12" ht="14.4">
      <c r="J860" s="98"/>
      <c r="K860" s="98"/>
      <c r="L860" s="98"/>
    </row>
    <row r="861" spans="10:12" ht="14.4">
      <c r="J861" s="98"/>
      <c r="K861" s="98"/>
      <c r="L861" s="98"/>
    </row>
    <row r="862" spans="10:12" ht="14.4">
      <c r="J862" s="98"/>
      <c r="K862" s="98"/>
      <c r="L862" s="98"/>
    </row>
    <row r="863" spans="10:12" ht="14.4">
      <c r="J863" s="98"/>
      <c r="K863" s="98"/>
      <c r="L863" s="98"/>
    </row>
    <row r="864" spans="10:12" ht="14.4">
      <c r="J864" s="98"/>
      <c r="K864" s="98"/>
      <c r="L864" s="98"/>
    </row>
    <row r="865" spans="10:12" ht="14.4">
      <c r="J865" s="98"/>
      <c r="K865" s="98"/>
      <c r="L865" s="98"/>
    </row>
    <row r="866" spans="10:12" ht="14.4">
      <c r="J866" s="98"/>
      <c r="K866" s="98"/>
      <c r="L866" s="98"/>
    </row>
    <row r="867" spans="10:12" ht="14.4">
      <c r="J867" s="98"/>
      <c r="K867" s="98"/>
      <c r="L867" s="98"/>
    </row>
    <row r="868" spans="10:12" ht="14.4">
      <c r="J868" s="98"/>
      <c r="K868" s="98"/>
      <c r="L868" s="98"/>
    </row>
    <row r="869" spans="10:12" ht="14.4">
      <c r="J869" s="98"/>
      <c r="K869" s="98"/>
      <c r="L869" s="98"/>
    </row>
    <row r="870" spans="10:12" ht="14.4">
      <c r="J870" s="98"/>
      <c r="K870" s="98"/>
      <c r="L870" s="98"/>
    </row>
    <row r="871" spans="10:12" ht="14.4">
      <c r="J871" s="98"/>
      <c r="K871" s="98"/>
      <c r="L871" s="98"/>
    </row>
    <row r="872" spans="10:12" ht="14.4">
      <c r="J872" s="98"/>
      <c r="K872" s="98"/>
      <c r="L872" s="98"/>
    </row>
    <row r="873" spans="10:12" ht="14.4">
      <c r="J873" s="98"/>
      <c r="K873" s="98"/>
      <c r="L873" s="98"/>
    </row>
    <row r="874" spans="10:12" ht="14.4">
      <c r="J874" s="98"/>
      <c r="K874" s="98"/>
      <c r="L874" s="98"/>
    </row>
    <row r="875" spans="10:12" ht="14.4">
      <c r="J875" s="98"/>
      <c r="K875" s="98"/>
      <c r="L875" s="98"/>
    </row>
    <row r="876" spans="10:12" ht="14.4">
      <c r="J876" s="98"/>
      <c r="K876" s="98"/>
      <c r="L876" s="98"/>
    </row>
    <row r="877" spans="10:12" ht="14.4">
      <c r="J877" s="98"/>
      <c r="K877" s="98"/>
      <c r="L877" s="98"/>
    </row>
    <row r="878" spans="10:12" ht="14.4">
      <c r="J878" s="98"/>
      <c r="K878" s="98"/>
      <c r="L878" s="98"/>
    </row>
    <row r="879" spans="10:12" ht="14.4">
      <c r="J879" s="98"/>
      <c r="K879" s="98"/>
      <c r="L879" s="98"/>
    </row>
    <row r="880" spans="10:12" ht="14.4">
      <c r="J880" s="98"/>
      <c r="K880" s="98"/>
      <c r="L880" s="98"/>
    </row>
    <row r="881" spans="10:12" ht="14.4">
      <c r="J881" s="98"/>
      <c r="K881" s="98"/>
      <c r="L881" s="98"/>
    </row>
    <row r="882" spans="10:12" ht="14.4">
      <c r="J882" s="98"/>
      <c r="K882" s="98"/>
      <c r="L882" s="98"/>
    </row>
    <row r="883" spans="10:12" ht="14.4">
      <c r="J883" s="98"/>
      <c r="K883" s="98"/>
      <c r="L883" s="98"/>
    </row>
    <row r="884" spans="10:12" ht="14.4">
      <c r="J884" s="98"/>
      <c r="K884" s="98"/>
      <c r="L884" s="98"/>
    </row>
    <row r="885" spans="10:12" ht="14.4">
      <c r="J885" s="98"/>
      <c r="K885" s="98"/>
      <c r="L885" s="98"/>
    </row>
    <row r="886" spans="10:12" ht="14.4">
      <c r="J886" s="98"/>
      <c r="K886" s="98"/>
      <c r="L886" s="98"/>
    </row>
    <row r="887" spans="10:12" ht="14.4">
      <c r="J887" s="98"/>
      <c r="K887" s="98"/>
      <c r="L887" s="98"/>
    </row>
    <row r="888" spans="10:12" ht="14.4">
      <c r="J888" s="98"/>
      <c r="K888" s="98"/>
      <c r="L888" s="98"/>
    </row>
    <row r="889" spans="10:12" ht="14.4">
      <c r="J889" s="98"/>
      <c r="K889" s="98"/>
      <c r="L889" s="98"/>
    </row>
    <row r="890" spans="10:12" ht="14.4">
      <c r="J890" s="98"/>
      <c r="K890" s="98"/>
      <c r="L890" s="98"/>
    </row>
    <row r="891" spans="10:12" ht="14.4">
      <c r="J891" s="98"/>
      <c r="K891" s="98"/>
      <c r="L891" s="98"/>
    </row>
    <row r="892" spans="10:12" ht="14.4">
      <c r="J892" s="98"/>
      <c r="K892" s="98"/>
      <c r="L892" s="98"/>
    </row>
    <row r="893" spans="10:12" ht="14.4">
      <c r="J893" s="98"/>
      <c r="K893" s="98"/>
      <c r="L893" s="98"/>
    </row>
    <row r="894" spans="10:12" ht="14.4">
      <c r="J894" s="98"/>
      <c r="K894" s="98"/>
      <c r="L894" s="98"/>
    </row>
    <row r="895" spans="10:12" ht="14.4">
      <c r="J895" s="98"/>
      <c r="K895" s="98"/>
      <c r="L895" s="98"/>
    </row>
    <row r="896" spans="10:12" ht="14.4">
      <c r="J896" s="98"/>
      <c r="K896" s="98"/>
      <c r="L896" s="98"/>
    </row>
    <row r="897" spans="10:12" ht="14.4">
      <c r="J897" s="98"/>
      <c r="K897" s="98"/>
      <c r="L897" s="98"/>
    </row>
    <row r="898" spans="10:12" ht="14.4">
      <c r="J898" s="98"/>
      <c r="K898" s="98"/>
      <c r="L898" s="98"/>
    </row>
    <row r="899" spans="10:12" ht="14.4">
      <c r="J899" s="98"/>
      <c r="K899" s="98"/>
      <c r="L899" s="98"/>
    </row>
    <row r="900" spans="10:12" ht="14.4">
      <c r="J900" s="98"/>
      <c r="K900" s="98"/>
      <c r="L900" s="98"/>
    </row>
    <row r="901" spans="10:12" ht="14.4">
      <c r="J901" s="98"/>
      <c r="K901" s="98"/>
      <c r="L901" s="98"/>
    </row>
    <row r="902" spans="10:12" ht="14.4">
      <c r="J902" s="98"/>
      <c r="K902" s="98"/>
      <c r="L902" s="98"/>
    </row>
    <row r="903" spans="10:12" ht="14.4">
      <c r="J903" s="98"/>
      <c r="K903" s="98"/>
      <c r="L903" s="98"/>
    </row>
    <row r="904" spans="10:12" ht="14.4">
      <c r="J904" s="98"/>
      <c r="K904" s="98"/>
      <c r="L904" s="98"/>
    </row>
    <row r="905" spans="10:12" ht="14.4">
      <c r="J905" s="98"/>
      <c r="K905" s="98"/>
      <c r="L905" s="98"/>
    </row>
    <row r="906" spans="10:12" ht="14.4">
      <c r="J906" s="98"/>
      <c r="K906" s="98"/>
      <c r="L906" s="98"/>
    </row>
    <row r="907" spans="10:12" ht="14.4">
      <c r="J907" s="98"/>
      <c r="K907" s="98"/>
      <c r="L907" s="98"/>
    </row>
    <row r="908" spans="10:12" ht="14.4">
      <c r="J908" s="98"/>
      <c r="K908" s="98"/>
      <c r="L908" s="98"/>
    </row>
    <row r="909" spans="10:12" ht="14.4">
      <c r="J909" s="98"/>
      <c r="K909" s="98"/>
      <c r="L909" s="98"/>
    </row>
    <row r="910" spans="10:12" ht="14.4">
      <c r="J910" s="98"/>
      <c r="K910" s="98"/>
      <c r="L910" s="98"/>
    </row>
    <row r="911" spans="10:12" ht="14.4">
      <c r="J911" s="98"/>
      <c r="K911" s="98"/>
      <c r="L911" s="98"/>
    </row>
    <row r="912" spans="10:12" ht="14.4">
      <c r="J912" s="98"/>
      <c r="K912" s="98"/>
      <c r="L912" s="98"/>
    </row>
    <row r="913" spans="10:12" ht="14.4">
      <c r="J913" s="98"/>
      <c r="K913" s="98"/>
      <c r="L913" s="98"/>
    </row>
    <row r="914" spans="10:12" ht="14.4">
      <c r="J914" s="98"/>
      <c r="K914" s="98"/>
      <c r="L914" s="98"/>
    </row>
    <row r="915" spans="10:12" ht="14.4">
      <c r="J915" s="98"/>
      <c r="K915" s="98"/>
      <c r="L915" s="98"/>
    </row>
    <row r="916" spans="10:12" ht="14.4">
      <c r="J916" s="98"/>
      <c r="K916" s="98"/>
      <c r="L916" s="98"/>
    </row>
    <row r="917" spans="10:12" ht="14.4">
      <c r="J917" s="98"/>
      <c r="K917" s="98"/>
      <c r="L917" s="98"/>
    </row>
    <row r="918" spans="10:12" ht="14.4">
      <c r="J918" s="98"/>
      <c r="K918" s="98"/>
      <c r="L918" s="98"/>
    </row>
    <row r="919" spans="10:12" ht="14.4">
      <c r="J919" s="98"/>
      <c r="K919" s="98"/>
      <c r="L919" s="98"/>
    </row>
    <row r="920" spans="10:12" ht="14.4">
      <c r="J920" s="98"/>
      <c r="K920" s="98"/>
      <c r="L920" s="98"/>
    </row>
    <row r="921" spans="10:12" ht="14.4">
      <c r="J921" s="98"/>
      <c r="K921" s="98"/>
      <c r="L921" s="98"/>
    </row>
    <row r="922" spans="10:12" ht="14.4">
      <c r="J922" s="98"/>
      <c r="K922" s="98"/>
      <c r="L922" s="98"/>
    </row>
    <row r="923" spans="10:12" ht="14.4">
      <c r="J923" s="98"/>
      <c r="K923" s="98"/>
      <c r="L923" s="98"/>
    </row>
    <row r="924" spans="10:12" ht="14.4">
      <c r="J924" s="98"/>
      <c r="K924" s="98"/>
      <c r="L924" s="98"/>
    </row>
    <row r="925" spans="10:12" ht="14.4">
      <c r="J925" s="98"/>
      <c r="K925" s="98"/>
      <c r="L925" s="98"/>
    </row>
    <row r="926" spans="10:12" ht="14.4">
      <c r="J926" s="98"/>
      <c r="K926" s="98"/>
      <c r="L926" s="98"/>
    </row>
    <row r="927" spans="10:12" ht="14.4">
      <c r="J927" s="98"/>
      <c r="K927" s="98"/>
      <c r="L927" s="98"/>
    </row>
    <row r="928" spans="10:12" ht="14.4">
      <c r="J928" s="98"/>
      <c r="K928" s="98"/>
      <c r="L928" s="98"/>
    </row>
    <row r="929" spans="10:12" ht="14.4">
      <c r="J929" s="98"/>
      <c r="K929" s="98"/>
      <c r="L929" s="98"/>
    </row>
    <row r="930" spans="10:12" ht="14.4">
      <c r="J930" s="98"/>
      <c r="K930" s="98"/>
      <c r="L930" s="98"/>
    </row>
    <row r="931" spans="10:12" ht="14.4">
      <c r="J931" s="98"/>
      <c r="K931" s="98"/>
      <c r="L931" s="98"/>
    </row>
    <row r="932" spans="10:12" ht="14.4">
      <c r="J932" s="98"/>
      <c r="K932" s="98"/>
      <c r="L932" s="98"/>
    </row>
    <row r="933" spans="10:12" ht="14.4">
      <c r="J933" s="98"/>
      <c r="K933" s="98"/>
      <c r="L933" s="98"/>
    </row>
    <row r="934" spans="10:12" ht="14.4">
      <c r="J934" s="98"/>
      <c r="K934" s="98"/>
      <c r="L934" s="98"/>
    </row>
    <row r="935" spans="10:12" ht="14.4">
      <c r="J935" s="98"/>
      <c r="K935" s="98"/>
      <c r="L935" s="98"/>
    </row>
    <row r="936" spans="10:12" ht="14.4">
      <c r="J936" s="98"/>
      <c r="K936" s="98"/>
      <c r="L936" s="98"/>
    </row>
    <row r="937" spans="10:12" ht="14.4">
      <c r="J937" s="98"/>
      <c r="K937" s="98"/>
      <c r="L937" s="98"/>
    </row>
    <row r="938" spans="10:12" ht="14.4">
      <c r="J938" s="98"/>
      <c r="K938" s="98"/>
      <c r="L938" s="98"/>
    </row>
    <row r="939" spans="10:12" ht="14.4">
      <c r="J939" s="98"/>
      <c r="K939" s="98"/>
      <c r="L939" s="98"/>
    </row>
    <row r="940" spans="10:12" ht="14.4">
      <c r="J940" s="98"/>
      <c r="K940" s="98"/>
      <c r="L940" s="98"/>
    </row>
    <row r="941" spans="10:12" ht="14.4">
      <c r="J941" s="98"/>
      <c r="K941" s="98"/>
      <c r="L941" s="98"/>
    </row>
    <row r="942" spans="10:12" ht="14.4">
      <c r="J942" s="98"/>
      <c r="K942" s="98"/>
      <c r="L942" s="98"/>
    </row>
    <row r="943" spans="10:12" ht="14.4">
      <c r="J943" s="98"/>
      <c r="K943" s="98"/>
      <c r="L943" s="98"/>
    </row>
    <row r="944" spans="10:12" ht="14.4">
      <c r="J944" s="98"/>
      <c r="K944" s="98"/>
      <c r="L944" s="98"/>
    </row>
    <row r="945" spans="10:12" ht="14.4">
      <c r="J945" s="98"/>
      <c r="K945" s="98"/>
      <c r="L945" s="98"/>
    </row>
    <row r="946" spans="10:12" ht="14.4">
      <c r="J946" s="98"/>
      <c r="K946" s="98"/>
      <c r="L946" s="98"/>
    </row>
    <row r="947" spans="10:12" ht="14.4">
      <c r="J947" s="98"/>
      <c r="K947" s="98"/>
      <c r="L947" s="98"/>
    </row>
    <row r="948" spans="10:12" ht="14.4">
      <c r="J948" s="98"/>
      <c r="K948" s="98"/>
      <c r="L948" s="98"/>
    </row>
    <row r="949" spans="10:12" ht="14.4">
      <c r="J949" s="98"/>
      <c r="K949" s="98"/>
      <c r="L949" s="98"/>
    </row>
    <row r="950" spans="10:12" ht="14.4">
      <c r="J950" s="98"/>
      <c r="K950" s="98"/>
      <c r="L950" s="98"/>
    </row>
    <row r="951" spans="10:12" ht="14.4">
      <c r="J951" s="98"/>
      <c r="K951" s="98"/>
      <c r="L951" s="98"/>
    </row>
    <row r="952" spans="10:12" ht="14.4">
      <c r="J952" s="98"/>
      <c r="K952" s="98"/>
      <c r="L952" s="98"/>
    </row>
    <row r="953" spans="10:12" ht="14.4">
      <c r="J953" s="98"/>
      <c r="K953" s="98"/>
      <c r="L953" s="98"/>
    </row>
    <row r="954" spans="10:12" ht="14.4">
      <c r="J954" s="98"/>
      <c r="K954" s="98"/>
      <c r="L954" s="98"/>
    </row>
    <row r="955" spans="10:12" ht="14.4">
      <c r="J955" s="98"/>
      <c r="K955" s="98"/>
      <c r="L955" s="98"/>
    </row>
    <row r="956" spans="10:12" ht="14.4">
      <c r="J956" s="98"/>
      <c r="K956" s="98"/>
      <c r="L956" s="98"/>
    </row>
    <row r="957" spans="10:12" ht="14.4">
      <c r="J957" s="98"/>
      <c r="K957" s="98"/>
      <c r="L957" s="98"/>
    </row>
    <row r="958" spans="10:12" ht="14.4">
      <c r="J958" s="98"/>
      <c r="K958" s="98"/>
      <c r="L958" s="98"/>
    </row>
    <row r="959" spans="10:12" ht="14.4">
      <c r="J959" s="98"/>
      <c r="K959" s="98"/>
      <c r="L959" s="98"/>
    </row>
    <row r="960" spans="10:12" ht="14.4">
      <c r="J960" s="98"/>
      <c r="K960" s="98"/>
      <c r="L960" s="98"/>
    </row>
    <row r="961" spans="10:12" ht="14.4">
      <c r="J961" s="98"/>
      <c r="K961" s="98"/>
      <c r="L961" s="98"/>
    </row>
    <row r="962" spans="10:12" ht="14.4">
      <c r="J962" s="98"/>
      <c r="K962" s="98"/>
      <c r="L962" s="98"/>
    </row>
    <row r="963" spans="10:12" ht="14.4">
      <c r="J963" s="98"/>
      <c r="K963" s="98"/>
      <c r="L963" s="98"/>
    </row>
    <row r="964" spans="10:12" ht="14.4">
      <c r="J964" s="98"/>
      <c r="K964" s="98"/>
      <c r="L964" s="98"/>
    </row>
    <row r="965" spans="10:12" ht="14.4">
      <c r="J965" s="98"/>
      <c r="K965" s="98"/>
      <c r="L965" s="98"/>
    </row>
    <row r="966" spans="10:12" ht="14.4">
      <c r="J966" s="98"/>
      <c r="K966" s="98"/>
      <c r="L966" s="98"/>
    </row>
    <row r="967" spans="10:12" ht="14.4">
      <c r="J967" s="98"/>
      <c r="K967" s="98"/>
      <c r="L967" s="98"/>
    </row>
    <row r="968" spans="10:12" ht="14.4">
      <c r="J968" s="98"/>
      <c r="K968" s="98"/>
      <c r="L968" s="98"/>
    </row>
    <row r="969" spans="10:12" ht="14.4">
      <c r="J969" s="98"/>
      <c r="K969" s="98"/>
      <c r="L969" s="98"/>
    </row>
    <row r="970" spans="10:12" ht="14.4">
      <c r="J970" s="98"/>
      <c r="K970" s="98"/>
      <c r="L970" s="98"/>
    </row>
    <row r="971" spans="10:12" ht="14.4">
      <c r="J971" s="98"/>
      <c r="K971" s="98"/>
      <c r="L971" s="98"/>
    </row>
    <row r="972" spans="10:12" ht="14.4">
      <c r="J972" s="98"/>
      <c r="K972" s="98"/>
      <c r="L972" s="98"/>
    </row>
    <row r="973" spans="10:12" ht="14.4">
      <c r="J973" s="98"/>
      <c r="K973" s="98"/>
      <c r="L973" s="98"/>
    </row>
    <row r="974" spans="10:12" ht="14.4">
      <c r="J974" s="98"/>
      <c r="K974" s="98"/>
      <c r="L974" s="98"/>
    </row>
    <row r="975" spans="10:12" ht="14.4">
      <c r="J975" s="98"/>
      <c r="K975" s="98"/>
      <c r="L975" s="98"/>
    </row>
    <row r="976" spans="10:12" ht="14.4">
      <c r="J976" s="98"/>
      <c r="K976" s="98"/>
      <c r="L976" s="98"/>
    </row>
    <row r="977" spans="10:12" ht="14.4">
      <c r="J977" s="98"/>
      <c r="K977" s="98"/>
      <c r="L977" s="98"/>
    </row>
    <row r="978" spans="10:12" ht="14.4">
      <c r="J978" s="98"/>
      <c r="K978" s="98"/>
      <c r="L978" s="98"/>
    </row>
    <row r="979" spans="10:12" ht="14.4">
      <c r="J979" s="98"/>
      <c r="K979" s="98"/>
      <c r="L979" s="98"/>
    </row>
    <row r="980" spans="10:12" ht="14.4">
      <c r="J980" s="98"/>
      <c r="K980" s="98"/>
      <c r="L980" s="98"/>
    </row>
    <row r="981" spans="10:12" ht="14.4">
      <c r="J981" s="98"/>
      <c r="K981" s="98"/>
      <c r="L981" s="98"/>
    </row>
    <row r="982" spans="10:12" ht="14.4">
      <c r="J982" s="98"/>
      <c r="K982" s="98"/>
      <c r="L982" s="98"/>
    </row>
    <row r="983" spans="10:12" ht="14.4">
      <c r="J983" s="98"/>
      <c r="K983" s="98"/>
      <c r="L983" s="98"/>
    </row>
    <row r="984" spans="10:12" ht="14.4">
      <c r="J984" s="98"/>
      <c r="K984" s="98"/>
      <c r="L984" s="98"/>
    </row>
    <row r="985" spans="10:12" ht="14.4">
      <c r="J985" s="98"/>
      <c r="K985" s="98"/>
      <c r="L985" s="98"/>
    </row>
    <row r="986" spans="10:12" ht="14.4">
      <c r="J986" s="98"/>
      <c r="K986" s="98"/>
      <c r="L986" s="98"/>
    </row>
    <row r="987" spans="10:12" ht="14.4">
      <c r="J987" s="98"/>
      <c r="K987" s="98"/>
      <c r="L987" s="98"/>
    </row>
    <row r="988" spans="10:12" ht="14.4">
      <c r="J988" s="98"/>
      <c r="K988" s="98"/>
      <c r="L988" s="98"/>
    </row>
    <row r="989" spans="10:12" ht="14.4">
      <c r="J989" s="98"/>
      <c r="K989" s="98"/>
      <c r="L989" s="98"/>
    </row>
    <row r="990" spans="10:12" ht="14.4">
      <c r="J990" s="98"/>
      <c r="K990" s="98"/>
      <c r="L990" s="98"/>
    </row>
    <row r="991" spans="10:12" ht="14.4">
      <c r="J991" s="98"/>
      <c r="K991" s="98"/>
      <c r="L991" s="98"/>
    </row>
    <row r="992" spans="10:12" ht="14.4">
      <c r="J992" s="98"/>
      <c r="K992" s="98"/>
      <c r="L992" s="98"/>
    </row>
    <row r="993" spans="10:12" ht="14.4">
      <c r="J993" s="98"/>
      <c r="K993" s="98"/>
      <c r="L993" s="98"/>
    </row>
    <row r="994" spans="10:12" ht="14.4">
      <c r="J994" s="98"/>
      <c r="K994" s="98"/>
      <c r="L994" s="98"/>
    </row>
    <row r="995" spans="10:12" ht="14.4">
      <c r="J995" s="98"/>
      <c r="K995" s="98"/>
      <c r="L995" s="98"/>
    </row>
    <row r="996" spans="10:12" ht="14.4">
      <c r="J996" s="98"/>
      <c r="K996" s="98"/>
      <c r="L996" s="98"/>
    </row>
    <row r="997" spans="10:12" ht="14.4">
      <c r="J997" s="98"/>
      <c r="K997" s="98"/>
      <c r="L997" s="98"/>
    </row>
    <row r="998" spans="10:12" ht="14.4">
      <c r="J998" s="98"/>
      <c r="K998" s="98"/>
      <c r="L998" s="98"/>
    </row>
    <row r="999" spans="10:12" ht="14.4">
      <c r="J999" s="98"/>
      <c r="K999" s="98"/>
      <c r="L999" s="98"/>
    </row>
  </sheetData>
  <mergeCells count="7">
    <mergeCell ref="O4:P4"/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33"/>
  <sheetViews>
    <sheetView workbookViewId="0">
      <selection activeCell="D6" sqref="D6"/>
    </sheetView>
  </sheetViews>
  <sheetFormatPr defaultColWidth="11" defaultRowHeight="13.8"/>
  <sheetData>
    <row r="3" spans="2:6">
      <c r="C3" s="167" t="e">
        <f>#REF!</f>
        <v>#REF!</v>
      </c>
      <c r="D3" s="166"/>
      <c r="E3" s="167">
        <f>'One year follow-up_Virtual'!G9</f>
        <v>0</v>
      </c>
      <c r="F3" s="166"/>
    </row>
    <row r="4" spans="2:6">
      <c r="C4" s="82" t="s">
        <v>75</v>
      </c>
      <c r="D4" s="82" t="s">
        <v>76</v>
      </c>
    </row>
    <row r="5" spans="2:6">
      <c r="C5" s="166" t="s">
        <v>53</v>
      </c>
      <c r="D5" s="166"/>
      <c r="E5" s="166" t="s">
        <v>74</v>
      </c>
      <c r="F5" s="166"/>
    </row>
    <row r="6" spans="2:6">
      <c r="B6" s="83" t="s">
        <v>69</v>
      </c>
      <c r="C6" s="83"/>
      <c r="D6" s="143" t="e">
        <f>C6/C3</f>
        <v>#REF!</v>
      </c>
      <c r="E6" s="83"/>
      <c r="F6" s="83" t="e">
        <f>E6/E3</f>
        <v>#DIV/0!</v>
      </c>
    </row>
    <row r="7" spans="2:6">
      <c r="B7" s="83" t="s">
        <v>73</v>
      </c>
      <c r="C7" s="83"/>
      <c r="D7" s="143" t="e">
        <f>C7/C3</f>
        <v>#REF!</v>
      </c>
      <c r="E7" s="83"/>
      <c r="F7" s="83" t="e">
        <f>E7/E3</f>
        <v>#DIV/0!</v>
      </c>
    </row>
    <row r="8" spans="2:6">
      <c r="B8" s="83" t="s">
        <v>70</v>
      </c>
      <c r="C8" s="83"/>
      <c r="D8" s="143" t="e">
        <f>C8/C3</f>
        <v>#REF!</v>
      </c>
      <c r="E8" s="83"/>
      <c r="F8" s="83" t="e">
        <f>E8/E3</f>
        <v>#DIV/0!</v>
      </c>
    </row>
    <row r="26" spans="2:6">
      <c r="C26" s="167" t="e">
        <f>#REF!</f>
        <v>#REF!</v>
      </c>
      <c r="D26" s="166"/>
      <c r="E26" s="167">
        <f>'One year follow-up_Virtual'!G9</f>
        <v>0</v>
      </c>
      <c r="F26" s="166"/>
    </row>
    <row r="27" spans="2:6">
      <c r="C27" s="82" t="s">
        <v>75</v>
      </c>
      <c r="D27" s="82" t="s">
        <v>76</v>
      </c>
    </row>
    <row r="28" spans="2:6">
      <c r="C28" s="166" t="s">
        <v>53</v>
      </c>
      <c r="D28" s="166"/>
      <c r="E28" s="166" t="s">
        <v>74</v>
      </c>
      <c r="F28" s="166"/>
    </row>
    <row r="29" spans="2:6">
      <c r="B29" s="83" t="s">
        <v>77</v>
      </c>
      <c r="C29" s="83"/>
      <c r="D29" s="143" t="e">
        <f>C29/C26</f>
        <v>#REF!</v>
      </c>
      <c r="E29" s="83"/>
      <c r="F29" s="83" t="e">
        <f>E29/E26</f>
        <v>#DIV/0!</v>
      </c>
    </row>
    <row r="30" spans="2:6">
      <c r="B30" s="83" t="s">
        <v>78</v>
      </c>
      <c r="C30" s="83"/>
      <c r="D30" s="143" t="e">
        <f>C30/C26</f>
        <v>#REF!</v>
      </c>
      <c r="E30" s="83"/>
      <c r="F30" s="83" t="e">
        <f>E30/E26</f>
        <v>#DIV/0!</v>
      </c>
    </row>
    <row r="31" spans="2:6">
      <c r="B31" s="83" t="s">
        <v>79</v>
      </c>
      <c r="C31" s="83"/>
      <c r="D31" s="143" t="e">
        <f>C31/C26</f>
        <v>#REF!</v>
      </c>
      <c r="E31" s="83"/>
      <c r="F31" s="83" t="e">
        <f>E31/E26</f>
        <v>#DIV/0!</v>
      </c>
    </row>
    <row r="32" spans="2:6">
      <c r="B32" s="83" t="s">
        <v>80</v>
      </c>
      <c r="C32" s="83"/>
      <c r="D32" s="143" t="e">
        <f>C32/C26</f>
        <v>#REF!</v>
      </c>
      <c r="E32" s="83"/>
      <c r="F32" s="83" t="e">
        <f>E32/E26</f>
        <v>#DIV/0!</v>
      </c>
    </row>
    <row r="33" spans="2:6">
      <c r="B33" s="83" t="s">
        <v>81</v>
      </c>
      <c r="C33" s="83"/>
      <c r="D33" s="83" t="e">
        <f>C33/C26</f>
        <v>#REF!</v>
      </c>
      <c r="E33" s="83"/>
      <c r="F33" s="83" t="e">
        <f>E33/E26</f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Follow-up questions</vt:lpstr>
      <vt:lpstr>Dashboard</vt:lpstr>
      <vt:lpstr>One year follow-up_inperson</vt:lpstr>
      <vt:lpstr>six months follow-up_in person</vt:lpstr>
      <vt:lpstr> Analysis_Stats_in person</vt:lpstr>
      <vt:lpstr>Comparisons</vt:lpstr>
      <vt:lpstr>One year follow-up_Virtual</vt:lpstr>
      <vt:lpstr> Analysis_Stats_Virtual</vt:lpstr>
      <vt:lpstr>Analysis_Charts Virtual</vt:lpstr>
      <vt:lpstr>Analysis_Charts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Clarisse</dc:creator>
  <cp:lastModifiedBy>Admin Resonate</cp:lastModifiedBy>
  <dcterms:created xsi:type="dcterms:W3CDTF">2018-02-19T11:30:13Z</dcterms:created>
  <dcterms:modified xsi:type="dcterms:W3CDTF">2023-10-29T12:29:53Z</dcterms:modified>
</cp:coreProperties>
</file>