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autoCompressPictures="0" defaultThemeVersion="166925"/>
  <mc:AlternateContent xmlns:mc="http://schemas.openxmlformats.org/markup-compatibility/2006">
    <mc:Choice Requires="x15">
      <x15ac:absPath xmlns:x15ac="http://schemas.microsoft.com/office/spreadsheetml/2010/11/ac" url="C:\Users\Ange Munezero\Desktop\Box\Box Sync\M&amp;E\3. Data Entry &amp; Analysis &amp; Reports\3. Reports\2023\6. Annual numbers\"/>
    </mc:Choice>
  </mc:AlternateContent>
  <xr:revisionPtr revIDLastSave="0" documentId="13_ncr:1_{5BA87627-C8B7-4108-9DC7-C44A125819ED}" xr6:coauthVersionLast="47" xr6:coauthVersionMax="47" xr10:uidLastSave="{00000000-0000-0000-0000-000000000000}"/>
  <bookViews>
    <workbookView xWindow="-108" yWindow="-108" windowWidth="23256" windowHeight="12456" firstSheet="4" activeTab="4" xr2:uid="{00000000-000D-0000-FFFF-FFFF00000000}"/>
  </bookViews>
  <sheets>
    <sheet name="Follow-up questions" sheetId="2" state="hidden" r:id="rId1"/>
    <sheet name="Dashboard" sheetId="7" r:id="rId2"/>
    <sheet name="One year follow-up_inperson" sheetId="4" state="hidden" r:id="rId3"/>
    <sheet name="six months follow-up_in person" sheetId="3" r:id="rId4"/>
    <sheet name=" Analysis_Stats_in person" sheetId="5" r:id="rId5"/>
    <sheet name="Comparisons" sheetId="13" state="hidden" r:id="rId6"/>
    <sheet name="One year follow-up_Virtual" sheetId="9" state="hidden" r:id="rId7"/>
    <sheet name="Analysis_Charts Virtual" sheetId="11" state="hidden" r:id="rId8"/>
    <sheet name="Analysis_Charts" sheetId="6" state="hidden" r:id="rId9"/>
  </sheets>
  <definedNames>
    <definedName name="_xlnm._FilterDatabase" localSheetId="4" hidden="1">' Analysis_Stats_in person'!$A$30:$AE$39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K14" i="3" l="1"/>
  <c r="AK13" i="3"/>
  <c r="AK12" i="3"/>
  <c r="AK11" i="3"/>
  <c r="AK10" i="3"/>
  <c r="AI11" i="3"/>
  <c r="AI10" i="3"/>
  <c r="G20" i="3"/>
  <c r="G17" i="3"/>
  <c r="G14" i="3"/>
  <c r="G13" i="3"/>
  <c r="J10" i="3"/>
  <c r="H15" i="3" s="1"/>
  <c r="N41" i="5"/>
  <c r="T32" i="5"/>
  <c r="T33" i="5"/>
  <c r="T34" i="5"/>
  <c r="T35" i="5"/>
  <c r="T36" i="5"/>
  <c r="T37" i="5"/>
  <c r="T38" i="5"/>
  <c r="T39" i="5"/>
  <c r="T31" i="5"/>
  <c r="S41" i="5"/>
  <c r="C8" i="5"/>
  <c r="C9" i="5"/>
  <c r="C35" i="5"/>
  <c r="C34" i="5"/>
  <c r="C33" i="5"/>
  <c r="C32" i="5"/>
  <c r="C31" i="5"/>
  <c r="C36" i="5"/>
  <c r="C37" i="5"/>
  <c r="C38" i="5"/>
  <c r="C39" i="5"/>
  <c r="B32" i="5"/>
  <c r="J32" i="5" s="1"/>
  <c r="B33" i="5"/>
  <c r="J33" i="5" s="1"/>
  <c r="B34" i="5"/>
  <c r="J34" i="5" s="1"/>
  <c r="B35" i="5"/>
  <c r="J35" i="5" s="1"/>
  <c r="B36" i="5"/>
  <c r="J36" i="5" s="1"/>
  <c r="B37" i="5"/>
  <c r="J37" i="5" s="1"/>
  <c r="B38" i="5"/>
  <c r="J38" i="5" s="1"/>
  <c r="B39" i="5"/>
  <c r="J39" i="5" s="1"/>
  <c r="B31" i="5"/>
  <c r="J31" i="5" s="1"/>
  <c r="N28" i="3"/>
  <c r="N29" i="3"/>
  <c r="N30" i="3"/>
  <c r="K39" i="5"/>
  <c r="K38" i="5"/>
  <c r="K37" i="5"/>
  <c r="K36" i="5"/>
  <c r="K35" i="5"/>
  <c r="K34" i="5"/>
  <c r="K33" i="5"/>
  <c r="K32" i="5"/>
  <c r="K31" i="5"/>
  <c r="H24" i="3"/>
  <c r="L7" i="3"/>
  <c r="J29" i="3"/>
  <c r="K29" i="3"/>
  <c r="L29" i="3"/>
  <c r="O29" i="3"/>
  <c r="P29" i="3"/>
  <c r="Q29" i="3"/>
  <c r="T29" i="3"/>
  <c r="J30" i="3"/>
  <c r="K30" i="3"/>
  <c r="L30" i="3"/>
  <c r="O30" i="3"/>
  <c r="P30" i="3"/>
  <c r="Q30" i="3"/>
  <c r="T30" i="3"/>
  <c r="J31" i="3"/>
  <c r="K31" i="3"/>
  <c r="L31" i="3"/>
  <c r="N31" i="3"/>
  <c r="O31" i="3"/>
  <c r="P31" i="3"/>
  <c r="Q31" i="3"/>
  <c r="T31" i="3"/>
  <c r="J32" i="3"/>
  <c r="K32" i="3"/>
  <c r="L32" i="3"/>
  <c r="N32" i="3"/>
  <c r="O32" i="3"/>
  <c r="P32" i="3"/>
  <c r="Q32" i="3"/>
  <c r="T32" i="3"/>
  <c r="J33" i="3"/>
  <c r="K33" i="3"/>
  <c r="L33" i="3"/>
  <c r="N33" i="3"/>
  <c r="O33" i="3"/>
  <c r="P33" i="3"/>
  <c r="Q33" i="3"/>
  <c r="T33" i="3"/>
  <c r="J34" i="3"/>
  <c r="K34" i="3"/>
  <c r="L34" i="3"/>
  <c r="N34" i="3"/>
  <c r="O34" i="3"/>
  <c r="P34" i="3"/>
  <c r="Q34" i="3"/>
  <c r="T34" i="3"/>
  <c r="J35" i="3"/>
  <c r="K35" i="3"/>
  <c r="L35" i="3"/>
  <c r="N35" i="3"/>
  <c r="O35" i="3"/>
  <c r="P35" i="3"/>
  <c r="Q35" i="3"/>
  <c r="T35" i="3"/>
  <c r="J36" i="3"/>
  <c r="K36" i="3"/>
  <c r="L36" i="3"/>
  <c r="N36" i="3"/>
  <c r="O36" i="3"/>
  <c r="P36" i="3"/>
  <c r="Q36" i="3"/>
  <c r="T36" i="3"/>
  <c r="J37" i="3"/>
  <c r="K37" i="3"/>
  <c r="L37" i="3"/>
  <c r="M37" i="3" s="1"/>
  <c r="R37" i="3" s="1"/>
  <c r="N37" i="3"/>
  <c r="O37" i="3"/>
  <c r="P37" i="3"/>
  <c r="Q37" i="3"/>
  <c r="T37" i="3"/>
  <c r="J38" i="3"/>
  <c r="K38" i="3"/>
  <c r="L38" i="3"/>
  <c r="N38" i="3"/>
  <c r="O38" i="3"/>
  <c r="P38" i="3"/>
  <c r="Q38" i="3"/>
  <c r="T38" i="3"/>
  <c r="J39" i="3"/>
  <c r="K39" i="3"/>
  <c r="L39" i="3"/>
  <c r="N39" i="3"/>
  <c r="O39" i="3"/>
  <c r="P39" i="3"/>
  <c r="Q39" i="3"/>
  <c r="T39" i="3"/>
  <c r="J40" i="3"/>
  <c r="K40" i="3"/>
  <c r="L40" i="3"/>
  <c r="N40" i="3"/>
  <c r="O40" i="3"/>
  <c r="P40" i="3"/>
  <c r="Q40" i="3"/>
  <c r="T40" i="3"/>
  <c r="J41" i="3"/>
  <c r="K41" i="3"/>
  <c r="L41" i="3"/>
  <c r="N41" i="3"/>
  <c r="O41" i="3"/>
  <c r="P41" i="3"/>
  <c r="Q41" i="3"/>
  <c r="T41" i="3"/>
  <c r="J42" i="3"/>
  <c r="K42" i="3"/>
  <c r="L42" i="3"/>
  <c r="N42" i="3"/>
  <c r="O42" i="3"/>
  <c r="P42" i="3"/>
  <c r="Q42" i="3"/>
  <c r="T42" i="3"/>
  <c r="K6" i="5" s="1"/>
  <c r="J43" i="3"/>
  <c r="K43" i="3"/>
  <c r="L43" i="3"/>
  <c r="N43" i="3"/>
  <c r="O43" i="3"/>
  <c r="P43" i="3"/>
  <c r="Q43" i="3"/>
  <c r="T43" i="3"/>
  <c r="J44" i="3"/>
  <c r="K44" i="3"/>
  <c r="L44" i="3"/>
  <c r="N44" i="3"/>
  <c r="O44" i="3"/>
  <c r="P44" i="3"/>
  <c r="Q44" i="3"/>
  <c r="T44" i="3"/>
  <c r="J45" i="3"/>
  <c r="K45" i="3"/>
  <c r="L45" i="3"/>
  <c r="N45" i="3"/>
  <c r="O45" i="3"/>
  <c r="P45" i="3"/>
  <c r="Q45" i="3"/>
  <c r="T45" i="3"/>
  <c r="J46" i="3"/>
  <c r="K46" i="3"/>
  <c r="L46" i="3"/>
  <c r="N46" i="3"/>
  <c r="O46" i="3"/>
  <c r="P46" i="3"/>
  <c r="Q46" i="3"/>
  <c r="T46" i="3"/>
  <c r="J47" i="3"/>
  <c r="K47" i="3"/>
  <c r="L47" i="3"/>
  <c r="N47" i="3"/>
  <c r="O47" i="3"/>
  <c r="P47" i="3"/>
  <c r="Q47" i="3"/>
  <c r="T47" i="3"/>
  <c r="J48" i="3"/>
  <c r="K48" i="3"/>
  <c r="L48" i="3"/>
  <c r="N48" i="3"/>
  <c r="O48" i="3"/>
  <c r="P48" i="3"/>
  <c r="Q48" i="3"/>
  <c r="T48" i="3"/>
  <c r="J49" i="3"/>
  <c r="K49" i="3"/>
  <c r="L49" i="3"/>
  <c r="N49" i="3"/>
  <c r="O49" i="3"/>
  <c r="P49" i="3"/>
  <c r="Q49" i="3"/>
  <c r="T49" i="3"/>
  <c r="J50" i="3"/>
  <c r="K50" i="3"/>
  <c r="L50" i="3"/>
  <c r="N50" i="3"/>
  <c r="O50" i="3"/>
  <c r="P50" i="3"/>
  <c r="Q50" i="3"/>
  <c r="T50" i="3"/>
  <c r="J51" i="3"/>
  <c r="K51" i="3"/>
  <c r="L51" i="3"/>
  <c r="N51" i="3"/>
  <c r="O51" i="3"/>
  <c r="P51" i="3"/>
  <c r="Q51" i="3"/>
  <c r="T51" i="3"/>
  <c r="J52" i="3"/>
  <c r="K52" i="3"/>
  <c r="L52" i="3"/>
  <c r="N52" i="3"/>
  <c r="O52" i="3"/>
  <c r="P52" i="3"/>
  <c r="Q52" i="3"/>
  <c r="T52" i="3"/>
  <c r="J53" i="3"/>
  <c r="K53" i="3"/>
  <c r="L53" i="3"/>
  <c r="N53" i="3"/>
  <c r="O53" i="3"/>
  <c r="P53" i="3"/>
  <c r="Q53" i="3"/>
  <c r="T53" i="3"/>
  <c r="J54" i="3"/>
  <c r="K54" i="3"/>
  <c r="L54" i="3"/>
  <c r="N54" i="3"/>
  <c r="O54" i="3"/>
  <c r="P54" i="3"/>
  <c r="Q54" i="3"/>
  <c r="T54" i="3"/>
  <c r="J55" i="3"/>
  <c r="K55" i="3"/>
  <c r="L55" i="3"/>
  <c r="N55" i="3"/>
  <c r="O55" i="3"/>
  <c r="P55" i="3"/>
  <c r="Q55" i="3"/>
  <c r="T55" i="3"/>
  <c r="J56" i="3"/>
  <c r="K56" i="3"/>
  <c r="L56" i="3"/>
  <c r="N56" i="3"/>
  <c r="O56" i="3"/>
  <c r="P56" i="3"/>
  <c r="Q56" i="3"/>
  <c r="T56" i="3"/>
  <c r="J57" i="3"/>
  <c r="K57" i="3"/>
  <c r="L57" i="3"/>
  <c r="N57" i="3"/>
  <c r="O57" i="3"/>
  <c r="P57" i="3"/>
  <c r="Q57" i="3"/>
  <c r="T57" i="3"/>
  <c r="J58" i="3"/>
  <c r="K58" i="3"/>
  <c r="L58" i="3"/>
  <c r="N58" i="3"/>
  <c r="O58" i="3"/>
  <c r="P58" i="3"/>
  <c r="Q58" i="3"/>
  <c r="T58" i="3"/>
  <c r="J59" i="3"/>
  <c r="K59" i="3"/>
  <c r="L59" i="3"/>
  <c r="N59" i="3"/>
  <c r="O59" i="3"/>
  <c r="P59" i="3"/>
  <c r="Q59" i="3"/>
  <c r="T59" i="3"/>
  <c r="J60" i="3"/>
  <c r="K60" i="3"/>
  <c r="L60" i="3"/>
  <c r="N60" i="3"/>
  <c r="O60" i="3"/>
  <c r="P60" i="3"/>
  <c r="Q60" i="3"/>
  <c r="T60" i="3"/>
  <c r="J61" i="3"/>
  <c r="K61" i="3"/>
  <c r="L61" i="3"/>
  <c r="N61" i="3"/>
  <c r="O61" i="3"/>
  <c r="P61" i="3"/>
  <c r="Q61" i="3"/>
  <c r="T61" i="3"/>
  <c r="J62" i="3"/>
  <c r="K62" i="3"/>
  <c r="L62" i="3"/>
  <c r="N62" i="3"/>
  <c r="O62" i="3"/>
  <c r="P62" i="3"/>
  <c r="Q62" i="3"/>
  <c r="T62" i="3"/>
  <c r="J63" i="3"/>
  <c r="K63" i="3"/>
  <c r="L63" i="3"/>
  <c r="N63" i="3"/>
  <c r="O63" i="3"/>
  <c r="P63" i="3"/>
  <c r="Q63" i="3"/>
  <c r="T63" i="3"/>
  <c r="J64" i="3"/>
  <c r="K64" i="3"/>
  <c r="L64" i="3"/>
  <c r="N64" i="3"/>
  <c r="O64" i="3"/>
  <c r="P64" i="3"/>
  <c r="Q64" i="3"/>
  <c r="T64" i="3"/>
  <c r="J65" i="3"/>
  <c r="K65" i="3"/>
  <c r="L65" i="3"/>
  <c r="N65" i="3"/>
  <c r="O65" i="3"/>
  <c r="P65" i="3"/>
  <c r="Q65" i="3"/>
  <c r="T65" i="3"/>
  <c r="J66" i="3"/>
  <c r="K66" i="3"/>
  <c r="L66" i="3"/>
  <c r="N66" i="3"/>
  <c r="O66" i="3"/>
  <c r="P66" i="3"/>
  <c r="Q66" i="3"/>
  <c r="T66" i="3"/>
  <c r="J67" i="3"/>
  <c r="K67" i="3"/>
  <c r="L67" i="3"/>
  <c r="N67" i="3"/>
  <c r="O67" i="3"/>
  <c r="P67" i="3"/>
  <c r="Q67" i="3"/>
  <c r="T67" i="3"/>
  <c r="J68" i="3"/>
  <c r="K68" i="3"/>
  <c r="L68" i="3"/>
  <c r="N68" i="3"/>
  <c r="O68" i="3"/>
  <c r="P68" i="3"/>
  <c r="Q68" i="3"/>
  <c r="T68" i="3"/>
  <c r="J69" i="3"/>
  <c r="K69" i="3"/>
  <c r="L69" i="3"/>
  <c r="N69" i="3"/>
  <c r="O69" i="3"/>
  <c r="P69" i="3"/>
  <c r="Q69" i="3"/>
  <c r="T69" i="3"/>
  <c r="J70" i="3"/>
  <c r="K70" i="3"/>
  <c r="L70" i="3"/>
  <c r="N70" i="3"/>
  <c r="O70" i="3"/>
  <c r="P70" i="3"/>
  <c r="Q70" i="3"/>
  <c r="T70" i="3"/>
  <c r="J71" i="3"/>
  <c r="K71" i="3"/>
  <c r="L71" i="3"/>
  <c r="N71" i="3"/>
  <c r="O71" i="3"/>
  <c r="P71" i="3"/>
  <c r="Q71" i="3"/>
  <c r="T71" i="3"/>
  <c r="J72" i="3"/>
  <c r="K72" i="3"/>
  <c r="L72" i="3"/>
  <c r="N72" i="3"/>
  <c r="O72" i="3"/>
  <c r="P72" i="3"/>
  <c r="Q72" i="3"/>
  <c r="T72" i="3"/>
  <c r="J73" i="3"/>
  <c r="K73" i="3"/>
  <c r="L73" i="3"/>
  <c r="N73" i="3"/>
  <c r="O73" i="3"/>
  <c r="P73" i="3"/>
  <c r="Q73" i="3"/>
  <c r="T73" i="3"/>
  <c r="J74" i="3"/>
  <c r="K74" i="3"/>
  <c r="L74" i="3"/>
  <c r="N74" i="3"/>
  <c r="O74" i="3"/>
  <c r="P74" i="3"/>
  <c r="Q74" i="3"/>
  <c r="T74" i="3"/>
  <c r="J75" i="3"/>
  <c r="K75" i="3"/>
  <c r="L75" i="3"/>
  <c r="N75" i="3"/>
  <c r="O75" i="3"/>
  <c r="P75" i="3"/>
  <c r="Q75" i="3"/>
  <c r="T75" i="3"/>
  <c r="J76" i="3"/>
  <c r="K76" i="3"/>
  <c r="L76" i="3"/>
  <c r="N76" i="3"/>
  <c r="O76" i="3"/>
  <c r="P76" i="3"/>
  <c r="Q76" i="3"/>
  <c r="T76" i="3"/>
  <c r="J77" i="3"/>
  <c r="K77" i="3"/>
  <c r="L77" i="3"/>
  <c r="N77" i="3"/>
  <c r="O77" i="3"/>
  <c r="P77" i="3"/>
  <c r="Q77" i="3"/>
  <c r="T77" i="3"/>
  <c r="J78" i="3"/>
  <c r="K78" i="3"/>
  <c r="L78" i="3"/>
  <c r="N78" i="3"/>
  <c r="O78" i="3"/>
  <c r="P78" i="3"/>
  <c r="Q78" i="3"/>
  <c r="T78" i="3"/>
  <c r="J79" i="3"/>
  <c r="K79" i="3"/>
  <c r="L79" i="3"/>
  <c r="N79" i="3"/>
  <c r="O79" i="3"/>
  <c r="P79" i="3"/>
  <c r="Q79" i="3"/>
  <c r="T79" i="3"/>
  <c r="J80" i="3"/>
  <c r="K80" i="3"/>
  <c r="L80" i="3"/>
  <c r="N80" i="3"/>
  <c r="O80" i="3"/>
  <c r="P80" i="3"/>
  <c r="Q80" i="3"/>
  <c r="T80" i="3"/>
  <c r="J81" i="3"/>
  <c r="K81" i="3"/>
  <c r="L81" i="3"/>
  <c r="N81" i="3"/>
  <c r="O81" i="3"/>
  <c r="P81" i="3"/>
  <c r="Q81" i="3"/>
  <c r="T81" i="3"/>
  <c r="J82" i="3"/>
  <c r="K82" i="3"/>
  <c r="L82" i="3"/>
  <c r="N82" i="3"/>
  <c r="O82" i="3"/>
  <c r="P82" i="3"/>
  <c r="Q82" i="3"/>
  <c r="T82" i="3"/>
  <c r="J83" i="3"/>
  <c r="K83" i="3"/>
  <c r="L83" i="3"/>
  <c r="N83" i="3"/>
  <c r="O83" i="3"/>
  <c r="P83" i="3"/>
  <c r="Q83" i="3"/>
  <c r="T83" i="3"/>
  <c r="J84" i="3"/>
  <c r="K84" i="3"/>
  <c r="L84" i="3"/>
  <c r="N84" i="3"/>
  <c r="O84" i="3"/>
  <c r="P84" i="3"/>
  <c r="Q84" i="3"/>
  <c r="T84" i="3"/>
  <c r="J85" i="3"/>
  <c r="K85" i="3"/>
  <c r="L85" i="3"/>
  <c r="N85" i="3"/>
  <c r="O85" i="3"/>
  <c r="P85" i="3"/>
  <c r="Q85" i="3"/>
  <c r="T85" i="3"/>
  <c r="J86" i="3"/>
  <c r="K86" i="3"/>
  <c r="L86" i="3"/>
  <c r="N86" i="3"/>
  <c r="O86" i="3"/>
  <c r="P86" i="3"/>
  <c r="Q86" i="3"/>
  <c r="T86" i="3"/>
  <c r="J87" i="3"/>
  <c r="K87" i="3"/>
  <c r="L87" i="3"/>
  <c r="N87" i="3"/>
  <c r="O87" i="3"/>
  <c r="P87" i="3"/>
  <c r="Q87" i="3"/>
  <c r="T87" i="3"/>
  <c r="J88" i="3"/>
  <c r="K88" i="3"/>
  <c r="L88" i="3"/>
  <c r="N88" i="3"/>
  <c r="O88" i="3"/>
  <c r="P88" i="3"/>
  <c r="Q88" i="3"/>
  <c r="T88" i="3"/>
  <c r="J89" i="3"/>
  <c r="K89" i="3"/>
  <c r="L89" i="3"/>
  <c r="N89" i="3"/>
  <c r="O89" i="3"/>
  <c r="P89" i="3"/>
  <c r="Q89" i="3"/>
  <c r="T89" i="3"/>
  <c r="J90" i="3"/>
  <c r="K90" i="3"/>
  <c r="L90" i="3"/>
  <c r="N90" i="3"/>
  <c r="O90" i="3"/>
  <c r="P90" i="3"/>
  <c r="Q90" i="3"/>
  <c r="T90" i="3"/>
  <c r="J91" i="3"/>
  <c r="K91" i="3"/>
  <c r="L91" i="3"/>
  <c r="N91" i="3"/>
  <c r="O91" i="3"/>
  <c r="P91" i="3"/>
  <c r="Q91" i="3"/>
  <c r="T91" i="3"/>
  <c r="J92" i="3"/>
  <c r="K92" i="3"/>
  <c r="L92" i="3"/>
  <c r="N92" i="3"/>
  <c r="O92" i="3"/>
  <c r="P92" i="3"/>
  <c r="Q92" i="3"/>
  <c r="T92" i="3"/>
  <c r="J93" i="3"/>
  <c r="K93" i="3"/>
  <c r="L93" i="3"/>
  <c r="N93" i="3"/>
  <c r="O93" i="3"/>
  <c r="P93" i="3"/>
  <c r="Q93" i="3"/>
  <c r="T93" i="3"/>
  <c r="J94" i="3"/>
  <c r="K94" i="3"/>
  <c r="L94" i="3"/>
  <c r="N94" i="3"/>
  <c r="O94" i="3"/>
  <c r="P94" i="3"/>
  <c r="Q94" i="3"/>
  <c r="T94" i="3"/>
  <c r="J95" i="3"/>
  <c r="K95" i="3"/>
  <c r="L95" i="3"/>
  <c r="N95" i="3"/>
  <c r="O95" i="3"/>
  <c r="P95" i="3"/>
  <c r="Q95" i="3"/>
  <c r="T95" i="3"/>
  <c r="J96" i="3"/>
  <c r="K96" i="3"/>
  <c r="L96" i="3"/>
  <c r="N96" i="3"/>
  <c r="O96" i="3"/>
  <c r="P96" i="3"/>
  <c r="Q96" i="3"/>
  <c r="T96" i="3"/>
  <c r="J97" i="3"/>
  <c r="K97" i="3"/>
  <c r="L97" i="3"/>
  <c r="N97" i="3"/>
  <c r="O97" i="3"/>
  <c r="P97" i="3"/>
  <c r="Q97" i="3"/>
  <c r="T97" i="3"/>
  <c r="J98" i="3"/>
  <c r="K98" i="3"/>
  <c r="L98" i="3"/>
  <c r="N98" i="3"/>
  <c r="O98" i="3"/>
  <c r="P98" i="3"/>
  <c r="Q98" i="3"/>
  <c r="T98" i="3"/>
  <c r="J99" i="3"/>
  <c r="K99" i="3"/>
  <c r="L99" i="3"/>
  <c r="N99" i="3"/>
  <c r="O99" i="3"/>
  <c r="P99" i="3"/>
  <c r="Q99" i="3"/>
  <c r="T99" i="3"/>
  <c r="J100" i="3"/>
  <c r="K100" i="3"/>
  <c r="L100" i="3"/>
  <c r="N100" i="3"/>
  <c r="O100" i="3"/>
  <c r="P100" i="3"/>
  <c r="Q100" i="3"/>
  <c r="T100" i="3"/>
  <c r="J101" i="3"/>
  <c r="K101" i="3"/>
  <c r="L101" i="3"/>
  <c r="N101" i="3"/>
  <c r="O101" i="3"/>
  <c r="P101" i="3"/>
  <c r="Q101" i="3"/>
  <c r="T101" i="3"/>
  <c r="J102" i="3"/>
  <c r="K102" i="3"/>
  <c r="L102" i="3"/>
  <c r="N102" i="3"/>
  <c r="O102" i="3"/>
  <c r="P102" i="3"/>
  <c r="Q102" i="3"/>
  <c r="T102" i="3"/>
  <c r="J103" i="3"/>
  <c r="K103" i="3"/>
  <c r="L103" i="3"/>
  <c r="N103" i="3"/>
  <c r="O103" i="3"/>
  <c r="P103" i="3"/>
  <c r="Q103" i="3"/>
  <c r="T103" i="3"/>
  <c r="J104" i="3"/>
  <c r="K104" i="3"/>
  <c r="L104" i="3"/>
  <c r="N104" i="3"/>
  <c r="O104" i="3"/>
  <c r="P104" i="3"/>
  <c r="Q104" i="3"/>
  <c r="T104" i="3"/>
  <c r="J105" i="3"/>
  <c r="K105" i="3"/>
  <c r="L105" i="3"/>
  <c r="N105" i="3"/>
  <c r="O105" i="3"/>
  <c r="P105" i="3"/>
  <c r="Q105" i="3"/>
  <c r="T105" i="3"/>
  <c r="J106" i="3"/>
  <c r="K106" i="3"/>
  <c r="L106" i="3"/>
  <c r="N106" i="3"/>
  <c r="O106" i="3"/>
  <c r="P106" i="3"/>
  <c r="Q106" i="3"/>
  <c r="T106" i="3"/>
  <c r="J107" i="3"/>
  <c r="K107" i="3"/>
  <c r="L107" i="3"/>
  <c r="N107" i="3"/>
  <c r="O107" i="3"/>
  <c r="P107" i="3"/>
  <c r="Q107" i="3"/>
  <c r="T107" i="3"/>
  <c r="J108" i="3"/>
  <c r="K108" i="3"/>
  <c r="L108" i="3"/>
  <c r="N108" i="3"/>
  <c r="O108" i="3"/>
  <c r="P108" i="3"/>
  <c r="Q108" i="3"/>
  <c r="T108" i="3"/>
  <c r="J109" i="3"/>
  <c r="K109" i="3"/>
  <c r="L109" i="3"/>
  <c r="N109" i="3"/>
  <c r="O109" i="3"/>
  <c r="P109" i="3"/>
  <c r="Q109" i="3"/>
  <c r="T109" i="3"/>
  <c r="J110" i="3"/>
  <c r="K110" i="3"/>
  <c r="L110" i="3"/>
  <c r="N110" i="3"/>
  <c r="O110" i="3"/>
  <c r="P110" i="3"/>
  <c r="Q110" i="3"/>
  <c r="T110" i="3"/>
  <c r="J111" i="3"/>
  <c r="K111" i="3"/>
  <c r="L111" i="3"/>
  <c r="N111" i="3"/>
  <c r="O111" i="3"/>
  <c r="P111" i="3"/>
  <c r="Q111" i="3"/>
  <c r="T111" i="3"/>
  <c r="J112" i="3"/>
  <c r="K112" i="3"/>
  <c r="L112" i="3"/>
  <c r="N112" i="3"/>
  <c r="O112" i="3"/>
  <c r="P112" i="3"/>
  <c r="Q112" i="3"/>
  <c r="T112" i="3"/>
  <c r="J113" i="3"/>
  <c r="K113" i="3"/>
  <c r="L113" i="3"/>
  <c r="N113" i="3"/>
  <c r="O113" i="3"/>
  <c r="P113" i="3"/>
  <c r="Q113" i="3"/>
  <c r="T113" i="3"/>
  <c r="J114" i="3"/>
  <c r="K114" i="3"/>
  <c r="L114" i="3"/>
  <c r="N114" i="3"/>
  <c r="O114" i="3"/>
  <c r="P114" i="3"/>
  <c r="Q114" i="3"/>
  <c r="T114" i="3"/>
  <c r="J115" i="3"/>
  <c r="K115" i="3"/>
  <c r="L115" i="3"/>
  <c r="N115" i="3"/>
  <c r="O115" i="3"/>
  <c r="P115" i="3"/>
  <c r="Q115" i="3"/>
  <c r="T115" i="3"/>
  <c r="J116" i="3"/>
  <c r="K116" i="3"/>
  <c r="L116" i="3"/>
  <c r="N116" i="3"/>
  <c r="O116" i="3"/>
  <c r="P116" i="3"/>
  <c r="Q116" i="3"/>
  <c r="T116" i="3"/>
  <c r="J117" i="3"/>
  <c r="K117" i="3"/>
  <c r="L117" i="3"/>
  <c r="N117" i="3"/>
  <c r="O117" i="3"/>
  <c r="P117" i="3"/>
  <c r="Q117" i="3"/>
  <c r="T117" i="3"/>
  <c r="J118" i="3"/>
  <c r="K118" i="3"/>
  <c r="L118" i="3"/>
  <c r="N118" i="3"/>
  <c r="O118" i="3"/>
  <c r="P118" i="3"/>
  <c r="Q118" i="3"/>
  <c r="T118" i="3"/>
  <c r="J119" i="3"/>
  <c r="K119" i="3"/>
  <c r="L119" i="3"/>
  <c r="N119" i="3"/>
  <c r="O119" i="3"/>
  <c r="P119" i="3"/>
  <c r="Q119" i="3"/>
  <c r="T119" i="3"/>
  <c r="J120" i="3"/>
  <c r="K120" i="3"/>
  <c r="L120" i="3"/>
  <c r="N120" i="3"/>
  <c r="O120" i="3"/>
  <c r="P120" i="3"/>
  <c r="Q120" i="3"/>
  <c r="T120" i="3"/>
  <c r="J121" i="3"/>
  <c r="K121" i="3"/>
  <c r="L121" i="3"/>
  <c r="N121" i="3"/>
  <c r="O121" i="3"/>
  <c r="P121" i="3"/>
  <c r="Q121" i="3"/>
  <c r="T121" i="3"/>
  <c r="J122" i="3"/>
  <c r="K122" i="3"/>
  <c r="L122" i="3"/>
  <c r="N122" i="3"/>
  <c r="O122" i="3"/>
  <c r="P122" i="3"/>
  <c r="Q122" i="3"/>
  <c r="T122" i="3"/>
  <c r="J123" i="3"/>
  <c r="K123" i="3"/>
  <c r="L123" i="3"/>
  <c r="N123" i="3"/>
  <c r="O123" i="3"/>
  <c r="P123" i="3"/>
  <c r="Q123" i="3"/>
  <c r="T123" i="3"/>
  <c r="J124" i="3"/>
  <c r="K124" i="3"/>
  <c r="L124" i="3"/>
  <c r="N124" i="3"/>
  <c r="O124" i="3"/>
  <c r="P124" i="3"/>
  <c r="Q124" i="3"/>
  <c r="T124" i="3"/>
  <c r="J125" i="3"/>
  <c r="K125" i="3"/>
  <c r="L125" i="3"/>
  <c r="N125" i="3"/>
  <c r="O125" i="3"/>
  <c r="P125" i="3"/>
  <c r="Q125" i="3"/>
  <c r="T125" i="3"/>
  <c r="J126" i="3"/>
  <c r="K126" i="3"/>
  <c r="L126" i="3"/>
  <c r="N126" i="3"/>
  <c r="O126" i="3"/>
  <c r="P126" i="3"/>
  <c r="Q126" i="3"/>
  <c r="T126" i="3"/>
  <c r="J127" i="3"/>
  <c r="K127" i="3"/>
  <c r="L127" i="3"/>
  <c r="N127" i="3"/>
  <c r="O127" i="3"/>
  <c r="P127" i="3"/>
  <c r="Q127" i="3"/>
  <c r="T127" i="3"/>
  <c r="J128" i="3"/>
  <c r="K128" i="3"/>
  <c r="L128" i="3"/>
  <c r="N128" i="3"/>
  <c r="O128" i="3"/>
  <c r="P128" i="3"/>
  <c r="Q128" i="3"/>
  <c r="T128" i="3"/>
  <c r="J129" i="3"/>
  <c r="K129" i="3"/>
  <c r="L129" i="3"/>
  <c r="N129" i="3"/>
  <c r="O129" i="3"/>
  <c r="P129" i="3"/>
  <c r="Q129" i="3"/>
  <c r="T129" i="3"/>
  <c r="J130" i="3"/>
  <c r="K130" i="3"/>
  <c r="L130" i="3"/>
  <c r="N130" i="3"/>
  <c r="O130" i="3"/>
  <c r="P130" i="3"/>
  <c r="Q130" i="3"/>
  <c r="T130" i="3"/>
  <c r="J131" i="3"/>
  <c r="K131" i="3"/>
  <c r="L131" i="3"/>
  <c r="N131" i="3"/>
  <c r="O131" i="3"/>
  <c r="P131" i="3"/>
  <c r="Q131" i="3"/>
  <c r="T131" i="3"/>
  <c r="J132" i="3"/>
  <c r="K132" i="3"/>
  <c r="L132" i="3"/>
  <c r="N132" i="3"/>
  <c r="O132" i="3"/>
  <c r="P132" i="3"/>
  <c r="Q132" i="3"/>
  <c r="T132" i="3"/>
  <c r="J133" i="3"/>
  <c r="K133" i="3"/>
  <c r="L133" i="3"/>
  <c r="N133" i="3"/>
  <c r="O133" i="3"/>
  <c r="P133" i="3"/>
  <c r="Q133" i="3"/>
  <c r="T133" i="3"/>
  <c r="J134" i="3"/>
  <c r="K134" i="3"/>
  <c r="L134" i="3"/>
  <c r="N134" i="3"/>
  <c r="O134" i="3"/>
  <c r="P134" i="3"/>
  <c r="Q134" i="3"/>
  <c r="T134" i="3"/>
  <c r="J135" i="3"/>
  <c r="K135" i="3"/>
  <c r="L135" i="3"/>
  <c r="N135" i="3"/>
  <c r="O135" i="3"/>
  <c r="P135" i="3"/>
  <c r="Q135" i="3"/>
  <c r="T135" i="3"/>
  <c r="J136" i="3"/>
  <c r="K136" i="3"/>
  <c r="L136" i="3"/>
  <c r="N136" i="3"/>
  <c r="O136" i="3"/>
  <c r="P136" i="3"/>
  <c r="Q136" i="3"/>
  <c r="T136" i="3"/>
  <c r="J137" i="3"/>
  <c r="K137" i="3"/>
  <c r="L137" i="3"/>
  <c r="N137" i="3"/>
  <c r="O137" i="3"/>
  <c r="P137" i="3"/>
  <c r="Q137" i="3"/>
  <c r="T137" i="3"/>
  <c r="J138" i="3"/>
  <c r="K138" i="3"/>
  <c r="L138" i="3"/>
  <c r="N138" i="3"/>
  <c r="O138" i="3"/>
  <c r="P138" i="3"/>
  <c r="Q138" i="3"/>
  <c r="T138" i="3"/>
  <c r="J139" i="3"/>
  <c r="K139" i="3"/>
  <c r="L139" i="3"/>
  <c r="N139" i="3"/>
  <c r="O139" i="3"/>
  <c r="P139" i="3"/>
  <c r="Q139" i="3"/>
  <c r="T139" i="3"/>
  <c r="J140" i="3"/>
  <c r="K140" i="3"/>
  <c r="L140" i="3"/>
  <c r="N140" i="3"/>
  <c r="O140" i="3"/>
  <c r="P140" i="3"/>
  <c r="Q140" i="3"/>
  <c r="T140" i="3"/>
  <c r="J141" i="3"/>
  <c r="M141" i="3" s="1"/>
  <c r="K141" i="3"/>
  <c r="L141" i="3"/>
  <c r="N141" i="3"/>
  <c r="O141" i="3"/>
  <c r="P141" i="3"/>
  <c r="Q141" i="3"/>
  <c r="T141" i="3"/>
  <c r="J142" i="3"/>
  <c r="K142" i="3"/>
  <c r="L142" i="3"/>
  <c r="N142" i="3"/>
  <c r="O142" i="3"/>
  <c r="P142" i="3"/>
  <c r="Q142" i="3"/>
  <c r="T142" i="3"/>
  <c r="J143" i="3"/>
  <c r="K143" i="3"/>
  <c r="L143" i="3"/>
  <c r="N143" i="3"/>
  <c r="O143" i="3"/>
  <c r="P143" i="3"/>
  <c r="Q143" i="3"/>
  <c r="T143" i="3"/>
  <c r="J144" i="3"/>
  <c r="K144" i="3"/>
  <c r="L144" i="3"/>
  <c r="N144" i="3"/>
  <c r="O144" i="3"/>
  <c r="P144" i="3"/>
  <c r="Q144" i="3"/>
  <c r="J145" i="3"/>
  <c r="K145" i="3"/>
  <c r="L145" i="3"/>
  <c r="N145" i="3"/>
  <c r="O145" i="3"/>
  <c r="P145" i="3"/>
  <c r="Q145" i="3"/>
  <c r="T145" i="3"/>
  <c r="J146" i="3"/>
  <c r="K146" i="3"/>
  <c r="L146" i="3"/>
  <c r="N146" i="3"/>
  <c r="O146" i="3"/>
  <c r="P146" i="3"/>
  <c r="Q146" i="3"/>
  <c r="J147" i="3"/>
  <c r="K147" i="3"/>
  <c r="L147" i="3"/>
  <c r="N147" i="3"/>
  <c r="O147" i="3"/>
  <c r="P147" i="3"/>
  <c r="Q147" i="3"/>
  <c r="T147" i="3"/>
  <c r="J148" i="3"/>
  <c r="K148" i="3"/>
  <c r="L148" i="3"/>
  <c r="N148" i="3"/>
  <c r="O148" i="3"/>
  <c r="P148" i="3"/>
  <c r="Q148" i="3"/>
  <c r="J149" i="3"/>
  <c r="K149" i="3"/>
  <c r="L149" i="3"/>
  <c r="N149" i="3"/>
  <c r="O149" i="3"/>
  <c r="P149" i="3"/>
  <c r="Q149" i="3"/>
  <c r="T149" i="3"/>
  <c r="J150" i="3"/>
  <c r="K150" i="3"/>
  <c r="L150" i="3"/>
  <c r="N150" i="3"/>
  <c r="O150" i="3"/>
  <c r="P150" i="3"/>
  <c r="Q150" i="3"/>
  <c r="J151" i="3"/>
  <c r="K151" i="3"/>
  <c r="L151" i="3"/>
  <c r="N151" i="3"/>
  <c r="O151" i="3"/>
  <c r="P151" i="3"/>
  <c r="Q151" i="3"/>
  <c r="T151" i="3"/>
  <c r="J152" i="3"/>
  <c r="K152" i="3"/>
  <c r="L152" i="3"/>
  <c r="N152" i="3"/>
  <c r="O152" i="3"/>
  <c r="P152" i="3"/>
  <c r="Q152" i="3"/>
  <c r="J153" i="3"/>
  <c r="K153" i="3"/>
  <c r="L153" i="3"/>
  <c r="N153" i="3"/>
  <c r="O153" i="3"/>
  <c r="P153" i="3"/>
  <c r="Q153" i="3"/>
  <c r="T153" i="3"/>
  <c r="J154" i="3"/>
  <c r="K154" i="3"/>
  <c r="L154" i="3"/>
  <c r="N154" i="3"/>
  <c r="O154" i="3"/>
  <c r="P154" i="3"/>
  <c r="Q154" i="3"/>
  <c r="J155" i="3"/>
  <c r="K155" i="3"/>
  <c r="L155" i="3"/>
  <c r="N155" i="3"/>
  <c r="O155" i="3"/>
  <c r="P155" i="3"/>
  <c r="Q155" i="3"/>
  <c r="T155" i="3"/>
  <c r="J156" i="3"/>
  <c r="K156" i="3"/>
  <c r="L156" i="3"/>
  <c r="N156" i="3"/>
  <c r="O156" i="3"/>
  <c r="P156" i="3"/>
  <c r="Q156" i="3"/>
  <c r="J157" i="3"/>
  <c r="K157" i="3"/>
  <c r="L157" i="3"/>
  <c r="N157" i="3"/>
  <c r="O157" i="3"/>
  <c r="P157" i="3"/>
  <c r="Q157" i="3"/>
  <c r="T157" i="3"/>
  <c r="J158" i="3"/>
  <c r="K158" i="3"/>
  <c r="L158" i="3"/>
  <c r="N158" i="3"/>
  <c r="O158" i="3"/>
  <c r="P158" i="3"/>
  <c r="Q158" i="3"/>
  <c r="J159" i="3"/>
  <c r="K159" i="3"/>
  <c r="L159" i="3"/>
  <c r="N159" i="3"/>
  <c r="O159" i="3"/>
  <c r="P159" i="3"/>
  <c r="Q159" i="3"/>
  <c r="T159" i="3"/>
  <c r="J160" i="3"/>
  <c r="K160" i="3"/>
  <c r="L160" i="3"/>
  <c r="N160" i="3"/>
  <c r="O160" i="3"/>
  <c r="P160" i="3"/>
  <c r="Q160" i="3"/>
  <c r="T160" i="3"/>
  <c r="J161" i="3"/>
  <c r="K161" i="3"/>
  <c r="L161" i="3"/>
  <c r="N161" i="3"/>
  <c r="O161" i="3"/>
  <c r="P161" i="3"/>
  <c r="Q161" i="3"/>
  <c r="T161" i="3"/>
  <c r="J162" i="3"/>
  <c r="K162" i="3"/>
  <c r="L162" i="3"/>
  <c r="N162" i="3"/>
  <c r="O162" i="3"/>
  <c r="P162" i="3"/>
  <c r="Q162" i="3"/>
  <c r="T162" i="3"/>
  <c r="J163" i="3"/>
  <c r="K163" i="3"/>
  <c r="L163" i="3"/>
  <c r="N163" i="3"/>
  <c r="O163" i="3"/>
  <c r="P163" i="3"/>
  <c r="Q163" i="3"/>
  <c r="T163" i="3"/>
  <c r="J164" i="3"/>
  <c r="K164" i="3"/>
  <c r="L164" i="3"/>
  <c r="N164" i="3"/>
  <c r="O164" i="3"/>
  <c r="P164" i="3"/>
  <c r="Q164" i="3"/>
  <c r="T164" i="3"/>
  <c r="J165" i="3"/>
  <c r="K165" i="3"/>
  <c r="L165" i="3"/>
  <c r="N165" i="3"/>
  <c r="O165" i="3"/>
  <c r="P165" i="3"/>
  <c r="Q165" i="3"/>
  <c r="T165" i="3"/>
  <c r="J166" i="3"/>
  <c r="K166" i="3"/>
  <c r="L166" i="3"/>
  <c r="N166" i="3"/>
  <c r="O166" i="3"/>
  <c r="P166" i="3"/>
  <c r="Q166" i="3"/>
  <c r="T166" i="3"/>
  <c r="J167" i="3"/>
  <c r="K167" i="3"/>
  <c r="L167" i="3"/>
  <c r="N167" i="3"/>
  <c r="O167" i="3"/>
  <c r="P167" i="3"/>
  <c r="Q167" i="3"/>
  <c r="T167" i="3"/>
  <c r="J168" i="3"/>
  <c r="K168" i="3"/>
  <c r="L168" i="3"/>
  <c r="N168" i="3"/>
  <c r="O168" i="3"/>
  <c r="P168" i="3"/>
  <c r="Q168" i="3"/>
  <c r="T168" i="3"/>
  <c r="J169" i="3"/>
  <c r="K169" i="3"/>
  <c r="L169" i="3"/>
  <c r="N169" i="3"/>
  <c r="O169" i="3"/>
  <c r="P169" i="3"/>
  <c r="Q169" i="3"/>
  <c r="T169" i="3"/>
  <c r="J170" i="3"/>
  <c r="K170" i="3"/>
  <c r="L170" i="3"/>
  <c r="N170" i="3"/>
  <c r="O170" i="3"/>
  <c r="P170" i="3"/>
  <c r="Q170" i="3"/>
  <c r="T170" i="3"/>
  <c r="J171" i="3"/>
  <c r="K171" i="3"/>
  <c r="L171" i="3"/>
  <c r="N171" i="3"/>
  <c r="O171" i="3"/>
  <c r="P171" i="3"/>
  <c r="Q171" i="3"/>
  <c r="T171" i="3"/>
  <c r="J172" i="3"/>
  <c r="K172" i="3"/>
  <c r="L172" i="3"/>
  <c r="N172" i="3"/>
  <c r="O172" i="3"/>
  <c r="P172" i="3"/>
  <c r="Q172" i="3"/>
  <c r="T172" i="3"/>
  <c r="J173" i="3"/>
  <c r="K173" i="3"/>
  <c r="L173" i="3"/>
  <c r="N173" i="3"/>
  <c r="O173" i="3"/>
  <c r="P173" i="3"/>
  <c r="Q173" i="3"/>
  <c r="T173" i="3"/>
  <c r="J174" i="3"/>
  <c r="K174" i="3"/>
  <c r="L174" i="3"/>
  <c r="N174" i="3"/>
  <c r="O174" i="3"/>
  <c r="P174" i="3"/>
  <c r="Q174" i="3"/>
  <c r="T174" i="3"/>
  <c r="J175" i="3"/>
  <c r="K175" i="3"/>
  <c r="L175" i="3"/>
  <c r="N175" i="3"/>
  <c r="O175" i="3"/>
  <c r="P175" i="3"/>
  <c r="Q175" i="3"/>
  <c r="T175" i="3"/>
  <c r="J176" i="3"/>
  <c r="K176" i="3"/>
  <c r="L176" i="3"/>
  <c r="N176" i="3"/>
  <c r="O176" i="3"/>
  <c r="P176" i="3"/>
  <c r="Q176" i="3"/>
  <c r="T176" i="3"/>
  <c r="J177" i="3"/>
  <c r="K177" i="3"/>
  <c r="L177" i="3"/>
  <c r="N177" i="3"/>
  <c r="O177" i="3"/>
  <c r="P177" i="3"/>
  <c r="Q177" i="3"/>
  <c r="T177" i="3"/>
  <c r="J178" i="3"/>
  <c r="K178" i="3"/>
  <c r="L178" i="3"/>
  <c r="N178" i="3"/>
  <c r="O178" i="3"/>
  <c r="P178" i="3"/>
  <c r="Q178" i="3"/>
  <c r="T178" i="3"/>
  <c r="J179" i="3"/>
  <c r="K179" i="3"/>
  <c r="L179" i="3"/>
  <c r="N179" i="3"/>
  <c r="O179" i="3"/>
  <c r="P179" i="3"/>
  <c r="Q179" i="3"/>
  <c r="T179" i="3"/>
  <c r="J180" i="3"/>
  <c r="K180" i="3"/>
  <c r="L180" i="3"/>
  <c r="N180" i="3"/>
  <c r="O180" i="3"/>
  <c r="P180" i="3"/>
  <c r="Q180" i="3"/>
  <c r="T180" i="3"/>
  <c r="J181" i="3"/>
  <c r="K181" i="3"/>
  <c r="L181" i="3"/>
  <c r="N181" i="3"/>
  <c r="O181" i="3"/>
  <c r="P181" i="3"/>
  <c r="Q181" i="3"/>
  <c r="T181" i="3"/>
  <c r="J182" i="3"/>
  <c r="K182" i="3"/>
  <c r="L182" i="3"/>
  <c r="N182" i="3"/>
  <c r="O182" i="3"/>
  <c r="P182" i="3"/>
  <c r="Q182" i="3"/>
  <c r="T182" i="3"/>
  <c r="J183" i="3"/>
  <c r="M183" i="3" s="1"/>
  <c r="K183" i="3"/>
  <c r="L183" i="3"/>
  <c r="N183" i="3"/>
  <c r="O183" i="3"/>
  <c r="P183" i="3"/>
  <c r="Q183" i="3"/>
  <c r="T183" i="3"/>
  <c r="J184" i="3"/>
  <c r="K184" i="3"/>
  <c r="L184" i="3"/>
  <c r="N184" i="3"/>
  <c r="O184" i="3"/>
  <c r="P184" i="3"/>
  <c r="Q184" i="3"/>
  <c r="T184" i="3"/>
  <c r="J185" i="3"/>
  <c r="K185" i="3"/>
  <c r="L185" i="3"/>
  <c r="N185" i="3"/>
  <c r="O185" i="3"/>
  <c r="P185" i="3"/>
  <c r="Q185" i="3"/>
  <c r="T185" i="3"/>
  <c r="J186" i="3"/>
  <c r="K186" i="3"/>
  <c r="L186" i="3"/>
  <c r="N186" i="3"/>
  <c r="O186" i="3"/>
  <c r="P186" i="3"/>
  <c r="Q186" i="3"/>
  <c r="T186" i="3"/>
  <c r="J187" i="3"/>
  <c r="K187" i="3"/>
  <c r="L187" i="3"/>
  <c r="N187" i="3"/>
  <c r="O187" i="3"/>
  <c r="P187" i="3"/>
  <c r="Q187" i="3"/>
  <c r="T187" i="3"/>
  <c r="J188" i="3"/>
  <c r="K188" i="3"/>
  <c r="L188" i="3"/>
  <c r="N188" i="3"/>
  <c r="O188" i="3"/>
  <c r="P188" i="3"/>
  <c r="Q188" i="3"/>
  <c r="T188" i="3"/>
  <c r="C39" i="3"/>
  <c r="M78" i="3"/>
  <c r="M61" i="3"/>
  <c r="M52" i="3"/>
  <c r="M42" i="3"/>
  <c r="M38" i="3"/>
  <c r="M32" i="3"/>
  <c r="M99" i="3"/>
  <c r="M71" i="3"/>
  <c r="M94" i="3"/>
  <c r="M30" i="3"/>
  <c r="R30" i="3" s="1"/>
  <c r="M29" i="3"/>
  <c r="M130" i="3"/>
  <c r="C31" i="3"/>
  <c r="C29" i="3"/>
  <c r="AK9" i="3"/>
  <c r="AK8" i="3"/>
  <c r="AK7" i="3"/>
  <c r="AI9" i="3"/>
  <c r="AI8" i="3"/>
  <c r="AI7" i="3"/>
  <c r="K9" i="3"/>
  <c r="L9" i="3" s="1"/>
  <c r="C171" i="3"/>
  <c r="C172" i="3"/>
  <c r="C173" i="3"/>
  <c r="C174" i="3"/>
  <c r="C175" i="3"/>
  <c r="C176" i="3"/>
  <c r="C177" i="3"/>
  <c r="C178" i="3"/>
  <c r="C179" i="3"/>
  <c r="C180" i="3"/>
  <c r="C181" i="3"/>
  <c r="C182" i="3"/>
  <c r="C183" i="3"/>
  <c r="C184" i="3"/>
  <c r="C185" i="3"/>
  <c r="C186" i="3"/>
  <c r="C187" i="3"/>
  <c r="C188" i="3"/>
  <c r="C167" i="3"/>
  <c r="C168" i="3"/>
  <c r="C169" i="3"/>
  <c r="C170" i="3"/>
  <c r="K8" i="3"/>
  <c r="L8" i="3" s="1"/>
  <c r="C121" i="3"/>
  <c r="C122" i="3"/>
  <c r="C123" i="3"/>
  <c r="C124" i="3"/>
  <c r="C107" i="3"/>
  <c r="C108" i="3"/>
  <c r="C109" i="3"/>
  <c r="C110" i="3"/>
  <c r="C111" i="3"/>
  <c r="C112" i="3"/>
  <c r="C113" i="3"/>
  <c r="C114" i="3"/>
  <c r="C115" i="3"/>
  <c r="C116" i="3"/>
  <c r="C117" i="3"/>
  <c r="C118" i="3"/>
  <c r="C119" i="3"/>
  <c r="C120" i="3"/>
  <c r="K6" i="3"/>
  <c r="L6" i="3" s="1"/>
  <c r="I6" i="5"/>
  <c r="G9" i="5"/>
  <c r="C127" i="3"/>
  <c r="C128" i="3"/>
  <c r="C129" i="3"/>
  <c r="C130" i="3"/>
  <c r="C131" i="3"/>
  <c r="C132" i="3"/>
  <c r="C133" i="3"/>
  <c r="C134" i="3"/>
  <c r="C135" i="3"/>
  <c r="C136" i="3"/>
  <c r="C137" i="3"/>
  <c r="C138" i="3"/>
  <c r="C139" i="3"/>
  <c r="C140" i="3"/>
  <c r="C141" i="3"/>
  <c r="C142" i="3"/>
  <c r="C143" i="3"/>
  <c r="C145" i="3"/>
  <c r="C147" i="3"/>
  <c r="C149" i="3"/>
  <c r="C151" i="3"/>
  <c r="C153" i="3"/>
  <c r="C155" i="3"/>
  <c r="C157" i="3"/>
  <c r="C159" i="3"/>
  <c r="C160" i="3"/>
  <c r="C161" i="3"/>
  <c r="C162" i="3"/>
  <c r="C163" i="3"/>
  <c r="C164" i="3"/>
  <c r="C165" i="3"/>
  <c r="C166" i="3"/>
  <c r="D146" i="3"/>
  <c r="C146" i="3" s="1"/>
  <c r="D148" i="3"/>
  <c r="T148" i="3"/>
  <c r="D150" i="3"/>
  <c r="D152" i="3"/>
  <c r="C152" i="3" s="1"/>
  <c r="D154" i="3"/>
  <c r="T154" i="3" s="1"/>
  <c r="D156" i="3"/>
  <c r="T156" i="3" s="1"/>
  <c r="D158" i="3"/>
  <c r="D144" i="3"/>
  <c r="T144" i="3" s="1"/>
  <c r="C126" i="3"/>
  <c r="C125" i="3"/>
  <c r="K5" i="3"/>
  <c r="L5" i="3" s="1"/>
  <c r="K4" i="3"/>
  <c r="L4" i="3" s="1"/>
  <c r="K3" i="3"/>
  <c r="L3"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65" i="3"/>
  <c r="C45" i="3"/>
  <c r="C43" i="3"/>
  <c r="C64" i="3"/>
  <c r="C63" i="3"/>
  <c r="C62" i="3"/>
  <c r="C61" i="3"/>
  <c r="C60" i="3"/>
  <c r="C59" i="3"/>
  <c r="C58" i="3"/>
  <c r="C57" i="3"/>
  <c r="C56" i="3"/>
  <c r="C55" i="3"/>
  <c r="C54" i="3"/>
  <c r="C51" i="3"/>
  <c r="C53" i="3"/>
  <c r="H30" i="7"/>
  <c r="H31" i="7"/>
  <c r="H33" i="7"/>
  <c r="H34" i="7"/>
  <c r="H35" i="7"/>
  <c r="C52" i="3"/>
  <c r="C50" i="3"/>
  <c r="C49" i="3"/>
  <c r="C48" i="3"/>
  <c r="C46" i="3"/>
  <c r="C47" i="3"/>
  <c r="C44" i="3"/>
  <c r="C42" i="3"/>
  <c r="F47" i="7"/>
  <c r="F46" i="7"/>
  <c r="F45" i="7"/>
  <c r="F44" i="7"/>
  <c r="F43" i="7"/>
  <c r="F42" i="7"/>
  <c r="K2" i="3"/>
  <c r="K47" i="5"/>
  <c r="L47" i="5" s="1"/>
  <c r="L4" i="9"/>
  <c r="L3" i="9"/>
  <c r="L5" i="9"/>
  <c r="R3" i="4"/>
  <c r="R2" i="4"/>
  <c r="T28" i="3"/>
  <c r="C26" i="11"/>
  <c r="D33" i="11"/>
  <c r="I10" i="3"/>
  <c r="C2" i="7"/>
  <c r="R67" i="5"/>
  <c r="S67" i="5" s="1"/>
  <c r="R66" i="5"/>
  <c r="S66" i="5" s="1"/>
  <c r="R65" i="5"/>
  <c r="S65" i="5" s="1"/>
  <c r="R64" i="5"/>
  <c r="S64" i="5" s="1"/>
  <c r="R63" i="5"/>
  <c r="S63" i="5" s="1"/>
  <c r="R62" i="5"/>
  <c r="S62" i="5" s="1"/>
  <c r="R68" i="5"/>
  <c r="S68" i="5" s="1"/>
  <c r="R69" i="5"/>
  <c r="S69" i="5" s="1"/>
  <c r="R61" i="5"/>
  <c r="S61" i="5" s="1"/>
  <c r="R60" i="5"/>
  <c r="S60" i="5" s="1"/>
  <c r="R59" i="5"/>
  <c r="S59" i="5" s="1"/>
  <c r="R58" i="5"/>
  <c r="S58" i="5" s="1"/>
  <c r="R57" i="5"/>
  <c r="S57" i="5" s="1"/>
  <c r="R56" i="5"/>
  <c r="S56" i="5" s="1"/>
  <c r="R55" i="5"/>
  <c r="S55" i="5" s="1"/>
  <c r="Q55" i="5"/>
  <c r="Q56" i="5"/>
  <c r="Q57" i="5"/>
  <c r="Q58" i="5"/>
  <c r="Q59" i="5"/>
  <c r="Q60" i="5"/>
  <c r="Q61" i="5"/>
  <c r="Q62" i="5"/>
  <c r="Q63" i="5"/>
  <c r="Q64" i="5"/>
  <c r="Q65" i="5"/>
  <c r="Q66" i="5"/>
  <c r="Q67" i="5"/>
  <c r="Q68" i="5"/>
  <c r="Q69" i="5"/>
  <c r="K69" i="5"/>
  <c r="L69" i="5" s="1"/>
  <c r="K68" i="5"/>
  <c r="L68" i="5" s="1"/>
  <c r="K67" i="5"/>
  <c r="L67" i="5" s="1"/>
  <c r="K66" i="5"/>
  <c r="L66" i="5" s="1"/>
  <c r="K65" i="5"/>
  <c r="L65" i="5" s="1"/>
  <c r="K64" i="5"/>
  <c r="L64" i="5" s="1"/>
  <c r="K63" i="5"/>
  <c r="L63" i="5" s="1"/>
  <c r="K62" i="5"/>
  <c r="L62" i="5" s="1"/>
  <c r="K61" i="5"/>
  <c r="L61" i="5" s="1"/>
  <c r="K60" i="5"/>
  <c r="L60" i="5" s="1"/>
  <c r="K59" i="5"/>
  <c r="L59" i="5" s="1"/>
  <c r="K58" i="5"/>
  <c r="L58" i="5" s="1"/>
  <c r="K57" i="5"/>
  <c r="L57" i="5" s="1"/>
  <c r="K56" i="5"/>
  <c r="L56" i="5" s="1"/>
  <c r="E8" i="5"/>
  <c r="J68" i="5"/>
  <c r="J69" i="5"/>
  <c r="C69" i="5"/>
  <c r="D69" i="5" s="1"/>
  <c r="H69" i="5" s="1"/>
  <c r="C68" i="5"/>
  <c r="D68" i="5" s="1"/>
  <c r="H68" i="5" s="1"/>
  <c r="B68" i="5"/>
  <c r="B69" i="5"/>
  <c r="H19" i="4"/>
  <c r="E3" i="6"/>
  <c r="F7" i="6"/>
  <c r="K55" i="5"/>
  <c r="L55" i="5" s="1"/>
  <c r="J55" i="5"/>
  <c r="J56" i="5"/>
  <c r="J57" i="5"/>
  <c r="J58" i="5"/>
  <c r="J59" i="5"/>
  <c r="J60" i="5"/>
  <c r="J61" i="5"/>
  <c r="J62" i="5"/>
  <c r="J63" i="5"/>
  <c r="J64" i="5"/>
  <c r="J65" i="5"/>
  <c r="J66" i="5"/>
  <c r="J67" i="5"/>
  <c r="C62" i="5"/>
  <c r="D62" i="5" s="1"/>
  <c r="H62" i="5" s="1"/>
  <c r="C63" i="5"/>
  <c r="D63" i="5" s="1"/>
  <c r="H63" i="5" s="1"/>
  <c r="C64" i="5"/>
  <c r="D64" i="5" s="1"/>
  <c r="H64" i="5" s="1"/>
  <c r="C65" i="5"/>
  <c r="D65" i="5" s="1"/>
  <c r="H65" i="5" s="1"/>
  <c r="C66" i="5"/>
  <c r="D66" i="5" s="1"/>
  <c r="H66" i="5" s="1"/>
  <c r="C67" i="5"/>
  <c r="D67" i="5" s="1"/>
  <c r="H67" i="5" s="1"/>
  <c r="C61" i="5"/>
  <c r="D61" i="5" s="1"/>
  <c r="H61" i="5" s="1"/>
  <c r="C60" i="5"/>
  <c r="D60" i="5" s="1"/>
  <c r="H60" i="5" s="1"/>
  <c r="C59" i="5"/>
  <c r="D59" i="5" s="1"/>
  <c r="H59" i="5" s="1"/>
  <c r="C58" i="5"/>
  <c r="D58" i="5" s="1"/>
  <c r="H58" i="5" s="1"/>
  <c r="C57" i="5"/>
  <c r="D57" i="5" s="1"/>
  <c r="H57" i="5" s="1"/>
  <c r="C56" i="5"/>
  <c r="D56" i="5" s="1"/>
  <c r="H56" i="5" s="1"/>
  <c r="C55" i="5"/>
  <c r="D55" i="5" s="1"/>
  <c r="H55" i="5" s="1"/>
  <c r="B66" i="5"/>
  <c r="B67" i="5"/>
  <c r="B65" i="5"/>
  <c r="B55" i="5"/>
  <c r="B56" i="5"/>
  <c r="B57" i="5"/>
  <c r="B58" i="5"/>
  <c r="B59" i="5"/>
  <c r="B60" i="5"/>
  <c r="B61" i="5"/>
  <c r="B62" i="5"/>
  <c r="B63" i="5"/>
  <c r="B64" i="5"/>
  <c r="R54" i="5"/>
  <c r="S54" i="5" s="1"/>
  <c r="R53" i="5"/>
  <c r="S53" i="5" s="1"/>
  <c r="R52" i="5"/>
  <c r="S52" i="5" s="1"/>
  <c r="R51" i="5"/>
  <c r="S51" i="5" s="1"/>
  <c r="R50" i="5"/>
  <c r="S50" i="5" s="1"/>
  <c r="R49" i="5"/>
  <c r="S49" i="5" s="1"/>
  <c r="R48" i="5"/>
  <c r="S48" i="5" s="1"/>
  <c r="R47" i="5"/>
  <c r="S47" i="5" s="1"/>
  <c r="S74" i="5" s="1"/>
  <c r="Q48" i="5"/>
  <c r="Q49" i="5"/>
  <c r="Q50" i="5"/>
  <c r="Q51" i="5"/>
  <c r="Q52" i="5"/>
  <c r="Q53" i="5"/>
  <c r="Q54" i="5"/>
  <c r="G9" i="9"/>
  <c r="E26" i="11"/>
  <c r="F32" i="11"/>
  <c r="K54" i="5"/>
  <c r="L54" i="5" s="1"/>
  <c r="K53" i="5"/>
  <c r="L53" i="5" s="1"/>
  <c r="K52" i="5"/>
  <c r="L52" i="5" s="1"/>
  <c r="K51" i="5"/>
  <c r="L51" i="5" s="1"/>
  <c r="J52" i="5"/>
  <c r="J53" i="5"/>
  <c r="J54" i="5"/>
  <c r="K50" i="5"/>
  <c r="L50" i="5" s="1"/>
  <c r="K49" i="5"/>
  <c r="L49" i="5" s="1"/>
  <c r="K48" i="5"/>
  <c r="L48" i="5" s="1"/>
  <c r="E9" i="5"/>
  <c r="C54" i="5"/>
  <c r="D54" i="5" s="1"/>
  <c r="H54" i="5" s="1"/>
  <c r="C53" i="5"/>
  <c r="D53" i="5" s="1"/>
  <c r="H53" i="5" s="1"/>
  <c r="C52" i="5"/>
  <c r="D52" i="5" s="1"/>
  <c r="H52" i="5" s="1"/>
  <c r="C51" i="5"/>
  <c r="D51" i="5" s="1"/>
  <c r="H51" i="5" s="1"/>
  <c r="C50" i="5"/>
  <c r="D50" i="5" s="1"/>
  <c r="H50" i="5" s="1"/>
  <c r="C49" i="5"/>
  <c r="D49" i="5" s="1"/>
  <c r="H49" i="5" s="1"/>
  <c r="C48" i="5"/>
  <c r="D48" i="5" s="1"/>
  <c r="H48" i="5" s="1"/>
  <c r="C47" i="5"/>
  <c r="D47" i="5" s="1"/>
  <c r="K9" i="5"/>
  <c r="Q28" i="3"/>
  <c r="C37" i="3"/>
  <c r="C34" i="3"/>
  <c r="C36" i="3"/>
  <c r="C32" i="3"/>
  <c r="C38" i="3"/>
  <c r="C35" i="3"/>
  <c r="C40" i="3"/>
  <c r="C33" i="3"/>
  <c r="C28" i="3"/>
  <c r="C30" i="3"/>
  <c r="C41" i="3"/>
  <c r="J28" i="3"/>
  <c r="K28" i="3"/>
  <c r="L28" i="3"/>
  <c r="O28" i="3"/>
  <c r="P28" i="3"/>
  <c r="I47" i="7"/>
  <c r="I46" i="7"/>
  <c r="I45" i="7"/>
  <c r="J45" i="7"/>
  <c r="L45" i="7"/>
  <c r="I44" i="7"/>
  <c r="L44" i="7"/>
  <c r="I43" i="7"/>
  <c r="L43" i="7"/>
  <c r="I42" i="7"/>
  <c r="L42" i="7"/>
  <c r="F31" i="7"/>
  <c r="D32" i="7"/>
  <c r="F32" i="7"/>
  <c r="F33" i="7"/>
  <c r="I33" i="7"/>
  <c r="M33" i="7"/>
  <c r="O33" i="7" s="1"/>
  <c r="I30" i="7"/>
  <c r="O30" i="7"/>
  <c r="L30" i="7"/>
  <c r="O42" i="7"/>
  <c r="L31" i="7"/>
  <c r="I32" i="7"/>
  <c r="O22" i="4"/>
  <c r="N22" i="4"/>
  <c r="M22" i="4"/>
  <c r="L22" i="4"/>
  <c r="O47" i="7"/>
  <c r="O46" i="7"/>
  <c r="O45" i="7"/>
  <c r="O44" i="7"/>
  <c r="O43" i="7"/>
  <c r="L46" i="7"/>
  <c r="O34" i="7"/>
  <c r="O32" i="7"/>
  <c r="O31" i="7"/>
  <c r="L35" i="7"/>
  <c r="L34" i="7"/>
  <c r="L33" i="7"/>
  <c r="L32" i="7"/>
  <c r="I35" i="7"/>
  <c r="K12" i="9"/>
  <c r="Q47" i="5"/>
  <c r="I22" i="4"/>
  <c r="H12" i="9" s="1"/>
  <c r="J22" i="4"/>
  <c r="I12" i="9" s="1"/>
  <c r="H22" i="4"/>
  <c r="G12" i="9" s="1"/>
  <c r="J48" i="5"/>
  <c r="J49" i="5"/>
  <c r="J50" i="5"/>
  <c r="J51" i="5"/>
  <c r="B48" i="5"/>
  <c r="B49" i="5"/>
  <c r="B50" i="5"/>
  <c r="B51" i="5"/>
  <c r="B52" i="5"/>
  <c r="B47" i="5"/>
  <c r="N12" i="9"/>
  <c r="M12" i="9"/>
  <c r="L12" i="9"/>
  <c r="B54" i="5"/>
  <c r="B53" i="5"/>
  <c r="J47" i="5"/>
  <c r="E3" i="11"/>
  <c r="F6" i="11"/>
  <c r="L47" i="7"/>
  <c r="I31" i="7"/>
  <c r="I34" i="7"/>
  <c r="O35" i="7"/>
  <c r="F20" i="7"/>
  <c r="F21" i="7"/>
  <c r="F34" i="7"/>
  <c r="F22" i="7"/>
  <c r="F35" i="7"/>
  <c r="F19" i="7"/>
  <c r="F30" i="7"/>
  <c r="C3" i="11"/>
  <c r="D6" i="11" s="1"/>
  <c r="D7" i="11"/>
  <c r="H9" i="9"/>
  <c r="F7" i="11"/>
  <c r="F8" i="11"/>
  <c r="D29" i="11"/>
  <c r="D32" i="11"/>
  <c r="D31" i="11"/>
  <c r="D30" i="11"/>
  <c r="E26" i="6"/>
  <c r="F29" i="6"/>
  <c r="I19" i="4"/>
  <c r="R4" i="4"/>
  <c r="F6" i="6"/>
  <c r="S4" i="4"/>
  <c r="C12" i="7"/>
  <c r="C148" i="3"/>
  <c r="F29" i="11"/>
  <c r="F31" i="11"/>
  <c r="F33" i="11"/>
  <c r="C6" i="7"/>
  <c r="F30" i="11"/>
  <c r="D8" i="11"/>
  <c r="C11" i="7"/>
  <c r="F8" i="6"/>
  <c r="C5" i="7"/>
  <c r="C7" i="7" s="1"/>
  <c r="E13" i="5"/>
  <c r="E16" i="5"/>
  <c r="C26" i="6"/>
  <c r="D30" i="6" s="1"/>
  <c r="C3" i="6"/>
  <c r="D7" i="6" s="1"/>
  <c r="D8" i="6"/>
  <c r="M9" i="5"/>
  <c r="I16" i="5"/>
  <c r="J16" i="5" s="1"/>
  <c r="I15" i="5"/>
  <c r="M14" i="5"/>
  <c r="I13" i="5"/>
  <c r="I9" i="5"/>
  <c r="J9" i="5" s="1"/>
  <c r="M13" i="5"/>
  <c r="M16" i="5"/>
  <c r="E15" i="5"/>
  <c r="M15" i="5"/>
  <c r="E14" i="5"/>
  <c r="K8" i="5"/>
  <c r="M8" i="5"/>
  <c r="N8" i="5" s="1"/>
  <c r="I8" i="5"/>
  <c r="J8" i="5" s="1"/>
  <c r="I14" i="5"/>
  <c r="K15" i="5"/>
  <c r="K14" i="5"/>
  <c r="G15" i="3"/>
  <c r="K13" i="5"/>
  <c r="F32" i="6"/>
  <c r="F31" i="6"/>
  <c r="F33" i="6"/>
  <c r="F30" i="6"/>
  <c r="M6" i="5"/>
  <c r="N9" i="5"/>
  <c r="M17" i="5"/>
  <c r="N17" i="5" s="1"/>
  <c r="E17" i="5"/>
  <c r="I17" i="5"/>
  <c r="J17" i="5" s="1"/>
  <c r="N16" i="5"/>
  <c r="AA10" i="5"/>
  <c r="I18" i="5"/>
  <c r="J18" i="5"/>
  <c r="E18" i="5"/>
  <c r="M18" i="5"/>
  <c r="N18" i="5"/>
  <c r="AA7" i="5"/>
  <c r="AA11" i="5"/>
  <c r="AA12" i="5"/>
  <c r="T152" i="3" l="1"/>
  <c r="M187" i="3"/>
  <c r="M184" i="3"/>
  <c r="M178" i="3"/>
  <c r="M175" i="3"/>
  <c r="M173" i="3"/>
  <c r="M164" i="3"/>
  <c r="M161" i="3"/>
  <c r="M144" i="3"/>
  <c r="M138" i="3"/>
  <c r="M134" i="3"/>
  <c r="M133" i="3"/>
  <c r="M131" i="3"/>
  <c r="M128" i="3"/>
  <c r="M126" i="3"/>
  <c r="M123" i="3"/>
  <c r="M122" i="3"/>
  <c r="M119" i="3"/>
  <c r="M115" i="3"/>
  <c r="M114" i="3"/>
  <c r="M113" i="3"/>
  <c r="M112" i="3"/>
  <c r="R112" i="3" s="1"/>
  <c r="M111" i="3"/>
  <c r="M110" i="3"/>
  <c r="M108" i="3"/>
  <c r="M107" i="3"/>
  <c r="M106" i="3"/>
  <c r="M104" i="3"/>
  <c r="M100" i="3"/>
  <c r="M97" i="3"/>
  <c r="R97" i="3" s="1"/>
  <c r="M93" i="3"/>
  <c r="M89" i="3"/>
  <c r="M86" i="3"/>
  <c r="M84" i="3"/>
  <c r="M81" i="3"/>
  <c r="M79" i="3"/>
  <c r="M76" i="3"/>
  <c r="M74" i="3"/>
  <c r="R74" i="3" s="1"/>
  <c r="M69" i="3"/>
  <c r="M67" i="3"/>
  <c r="M65" i="3"/>
  <c r="M64" i="3"/>
  <c r="M62" i="3"/>
  <c r="M60" i="3"/>
  <c r="M59" i="3"/>
  <c r="M58" i="3"/>
  <c r="R58" i="3" s="1"/>
  <c r="M57" i="3"/>
  <c r="M56" i="3"/>
  <c r="M55" i="3"/>
  <c r="M54" i="3"/>
  <c r="M186" i="3"/>
  <c r="M179" i="3"/>
  <c r="M176" i="3"/>
  <c r="M172" i="3"/>
  <c r="R172" i="3" s="1"/>
  <c r="M170" i="3"/>
  <c r="M168" i="3"/>
  <c r="M166" i="3"/>
  <c r="M163" i="3"/>
  <c r="M160" i="3"/>
  <c r="M145" i="3"/>
  <c r="M142" i="3"/>
  <c r="M140" i="3"/>
  <c r="R140" i="3" s="1"/>
  <c r="M137" i="3"/>
  <c r="M136" i="3"/>
  <c r="M102" i="3"/>
  <c r="M98" i="3"/>
  <c r="M95" i="3"/>
  <c r="M92" i="3"/>
  <c r="M91" i="3"/>
  <c r="M87" i="3"/>
  <c r="M85" i="3"/>
  <c r="M83" i="3"/>
  <c r="M80" i="3"/>
  <c r="M77" i="3"/>
  <c r="M75" i="3"/>
  <c r="M73" i="3"/>
  <c r="M72" i="3"/>
  <c r="M70" i="3"/>
  <c r="R70" i="3" s="1"/>
  <c r="M68" i="3"/>
  <c r="M66" i="3"/>
  <c r="R66" i="3" s="1"/>
  <c r="M63" i="3"/>
  <c r="M188" i="3"/>
  <c r="M185" i="3"/>
  <c r="M182" i="3"/>
  <c r="M181" i="3"/>
  <c r="M180" i="3"/>
  <c r="R180" i="3" s="1"/>
  <c r="M177" i="3"/>
  <c r="M174" i="3"/>
  <c r="M171" i="3"/>
  <c r="M169" i="3"/>
  <c r="M167" i="3"/>
  <c r="M165" i="3"/>
  <c r="M162" i="3"/>
  <c r="M159" i="3"/>
  <c r="R159" i="3" s="1"/>
  <c r="M146" i="3"/>
  <c r="M143" i="3"/>
  <c r="M139" i="3"/>
  <c r="M135" i="3"/>
  <c r="M132" i="3"/>
  <c r="M129" i="3"/>
  <c r="M127" i="3"/>
  <c r="M125" i="3"/>
  <c r="R125" i="3" s="1"/>
  <c r="M124" i="3"/>
  <c r="M121" i="3"/>
  <c r="M120" i="3"/>
  <c r="M118" i="3"/>
  <c r="M117" i="3"/>
  <c r="M116" i="3"/>
  <c r="M109" i="3"/>
  <c r="M105" i="3"/>
  <c r="M103" i="3"/>
  <c r="R103" i="3" s="1"/>
  <c r="M101" i="3"/>
  <c r="M96" i="3"/>
  <c r="M90" i="3"/>
  <c r="M88" i="3"/>
  <c r="M82" i="3"/>
  <c r="R38" i="3"/>
  <c r="R29" i="3"/>
  <c r="R42" i="3"/>
  <c r="M152" i="3"/>
  <c r="R152" i="3" s="1"/>
  <c r="R94" i="3"/>
  <c r="R61" i="3"/>
  <c r="R78" i="3"/>
  <c r="R77" i="3"/>
  <c r="R75" i="3"/>
  <c r="R73" i="3"/>
  <c r="R69" i="3"/>
  <c r="R67" i="3"/>
  <c r="R65" i="3"/>
  <c r="R64" i="3"/>
  <c r="R63" i="3"/>
  <c r="R59" i="3"/>
  <c r="R57" i="3"/>
  <c r="R55" i="3"/>
  <c r="R54" i="3"/>
  <c r="M53" i="3"/>
  <c r="M51" i="3"/>
  <c r="R51" i="3" s="1"/>
  <c r="M50" i="3"/>
  <c r="R50" i="3" s="1"/>
  <c r="M49" i="3"/>
  <c r="R49" i="3" s="1"/>
  <c r="M48" i="3"/>
  <c r="M47" i="3"/>
  <c r="R47" i="3" s="1"/>
  <c r="M46" i="3"/>
  <c r="R46" i="3" s="1"/>
  <c r="M45" i="3"/>
  <c r="R45" i="3" s="1"/>
  <c r="M44" i="3"/>
  <c r="M43" i="3"/>
  <c r="R43" i="3" s="1"/>
  <c r="M41" i="3"/>
  <c r="R41" i="3" s="1"/>
  <c r="M40" i="3"/>
  <c r="R40" i="3" s="1"/>
  <c r="M39" i="3"/>
  <c r="M36" i="3"/>
  <c r="R36" i="3" s="1"/>
  <c r="M35" i="3"/>
  <c r="R35" i="3" s="1"/>
  <c r="M34" i="3"/>
  <c r="R34" i="3" s="1"/>
  <c r="M33" i="3"/>
  <c r="R33" i="3" s="1"/>
  <c r="M31" i="3"/>
  <c r="R31" i="3" s="1"/>
  <c r="R171" i="3"/>
  <c r="R146" i="3"/>
  <c r="R124" i="3"/>
  <c r="R79" i="3"/>
  <c r="R72" i="3"/>
  <c r="R68" i="3"/>
  <c r="R32" i="3"/>
  <c r="R185" i="3"/>
  <c r="R177" i="3"/>
  <c r="R166" i="3"/>
  <c r="R162" i="3"/>
  <c r="M158" i="3"/>
  <c r="R158" i="3" s="1"/>
  <c r="M157" i="3"/>
  <c r="R157" i="3" s="1"/>
  <c r="M156" i="3"/>
  <c r="R156" i="3" s="1"/>
  <c r="M155" i="3"/>
  <c r="R155" i="3" s="1"/>
  <c r="M154" i="3"/>
  <c r="R154" i="3" s="1"/>
  <c r="R113" i="3"/>
  <c r="R110" i="3"/>
  <c r="R108" i="3"/>
  <c r="R106" i="3"/>
  <c r="R101" i="3"/>
  <c r="R100" i="3"/>
  <c r="R99" i="3"/>
  <c r="R98" i="3"/>
  <c r="R95" i="3"/>
  <c r="R90" i="3"/>
  <c r="R85" i="3"/>
  <c r="R84" i="3"/>
  <c r="R82" i="3"/>
  <c r="R80" i="3"/>
  <c r="C156" i="3"/>
  <c r="R182" i="3"/>
  <c r="R167" i="3"/>
  <c r="M153" i="3"/>
  <c r="R153" i="3" s="1"/>
  <c r="C16" i="5"/>
  <c r="G14" i="5"/>
  <c r="O14" i="5" s="1"/>
  <c r="V8" i="5" s="1"/>
  <c r="AB8" i="5" s="1"/>
  <c r="R116" i="3"/>
  <c r="D33" i="6"/>
  <c r="C144" i="3"/>
  <c r="AI12" i="3"/>
  <c r="G18" i="3" s="1"/>
  <c r="C154" i="3"/>
  <c r="M28" i="3"/>
  <c r="M148" i="3"/>
  <c r="M151" i="3"/>
  <c r="R151" i="3" s="1"/>
  <c r="M150" i="3"/>
  <c r="R150" i="3" s="1"/>
  <c r="M149" i="3"/>
  <c r="L8" i="5"/>
  <c r="R28" i="3"/>
  <c r="R134" i="3"/>
  <c r="R188" i="3"/>
  <c r="R187" i="3"/>
  <c r="R184" i="3"/>
  <c r="R181" i="3"/>
  <c r="R179" i="3"/>
  <c r="R178" i="3"/>
  <c r="R176" i="3"/>
  <c r="R175" i="3"/>
  <c r="R173" i="3"/>
  <c r="R169" i="3"/>
  <c r="R168" i="3"/>
  <c r="R164" i="3"/>
  <c r="R161" i="3"/>
  <c r="R160" i="3"/>
  <c r="R145" i="3"/>
  <c r="R144" i="3"/>
  <c r="R142" i="3"/>
  <c r="R138" i="3"/>
  <c r="R137" i="3"/>
  <c r="R135" i="3"/>
  <c r="R132" i="3"/>
  <c r="R129" i="3"/>
  <c r="R128" i="3"/>
  <c r="R120" i="3"/>
  <c r="R119" i="3"/>
  <c r="R118" i="3"/>
  <c r="R115" i="3"/>
  <c r="R114" i="3"/>
  <c r="R111" i="3"/>
  <c r="R109" i="3"/>
  <c r="R105" i="3"/>
  <c r="R102" i="3"/>
  <c r="R92" i="3"/>
  <c r="R89" i="3"/>
  <c r="R88" i="3"/>
  <c r="C150" i="3"/>
  <c r="T150" i="3"/>
  <c r="L2" i="3"/>
  <c r="L10" i="3" s="1"/>
  <c r="K10" i="3"/>
  <c r="D34" i="5"/>
  <c r="H34" i="5" s="1"/>
  <c r="R121" i="3"/>
  <c r="R104" i="3"/>
  <c r="R163" i="3"/>
  <c r="R122" i="3"/>
  <c r="R165" i="3"/>
  <c r="R183" i="3"/>
  <c r="R123" i="3"/>
  <c r="R107" i="3"/>
  <c r="R148" i="3"/>
  <c r="G15" i="5"/>
  <c r="H15" i="5" s="1"/>
  <c r="R136" i="3"/>
  <c r="R186" i="3"/>
  <c r="R127" i="3"/>
  <c r="R149" i="3"/>
  <c r="C15" i="5"/>
  <c r="G16" i="5"/>
  <c r="R170" i="3"/>
  <c r="R130" i="3"/>
  <c r="R86" i="3"/>
  <c r="C13" i="5"/>
  <c r="R117" i="3"/>
  <c r="R174" i="3"/>
  <c r="R126" i="3"/>
  <c r="R96" i="3"/>
  <c r="C14" i="5"/>
  <c r="T158" i="3"/>
  <c r="C158" i="3"/>
  <c r="R133" i="3"/>
  <c r="R143" i="3"/>
  <c r="R131" i="3"/>
  <c r="R71" i="3"/>
  <c r="R56" i="3"/>
  <c r="R83" i="3"/>
  <c r="T146" i="3"/>
  <c r="AK15" i="3"/>
  <c r="G19" i="3" s="1"/>
  <c r="R52" i="3"/>
  <c r="R76" i="3"/>
  <c r="K17" i="5"/>
  <c r="L17" i="5" s="1"/>
  <c r="R87" i="3"/>
  <c r="R53" i="3"/>
  <c r="R62" i="3"/>
  <c r="O9" i="5"/>
  <c r="R141" i="3"/>
  <c r="R48" i="3"/>
  <c r="R39" i="3"/>
  <c r="R44" i="3"/>
  <c r="D31" i="6"/>
  <c r="D32" i="6"/>
  <c r="D29" i="6"/>
  <c r="R93" i="3"/>
  <c r="R60" i="3"/>
  <c r="R91" i="3"/>
  <c r="M147" i="3"/>
  <c r="R147" i="3" s="1"/>
  <c r="K16" i="5"/>
  <c r="L16" i="5" s="1"/>
  <c r="R139" i="3"/>
  <c r="R81" i="3"/>
  <c r="L9" i="5"/>
  <c r="D31" i="5"/>
  <c r="L31" i="5"/>
  <c r="U41" i="5" s="1"/>
  <c r="L15" i="5" s="1"/>
  <c r="D39" i="5"/>
  <c r="H39" i="5" s="1"/>
  <c r="D38" i="5"/>
  <c r="H38" i="5" s="1"/>
  <c r="L35" i="5"/>
  <c r="L36" i="5"/>
  <c r="G74" i="5"/>
  <c r="D74" i="5"/>
  <c r="D75" i="5" s="1"/>
  <c r="E74" i="5"/>
  <c r="H47" i="5"/>
  <c r="F74" i="5"/>
  <c r="F15" i="5" s="1"/>
  <c r="E6" i="5"/>
  <c r="F9" i="5" s="1"/>
  <c r="D6" i="6"/>
  <c r="O15" i="5"/>
  <c r="N74" i="5"/>
  <c r="J15" i="5" s="1"/>
  <c r="M74" i="5"/>
  <c r="J13" i="5" s="1"/>
  <c r="L74" i="5"/>
  <c r="U74" i="5"/>
  <c r="N15" i="5" s="1"/>
  <c r="V74" i="5"/>
  <c r="N14" i="5" s="1"/>
  <c r="T74" i="5"/>
  <c r="N13" i="5" s="1"/>
  <c r="O74" i="5"/>
  <c r="J14" i="5" s="1"/>
  <c r="K18" i="5" l="1"/>
  <c r="L18" i="5" s="1"/>
  <c r="G21" i="3"/>
  <c r="H21" i="3" s="1"/>
  <c r="G8" i="5"/>
  <c r="D32" i="5"/>
  <c r="H32" i="5" s="1"/>
  <c r="L33" i="5"/>
  <c r="D36" i="5"/>
  <c r="H36" i="5" s="1"/>
  <c r="L34" i="5"/>
  <c r="L38" i="5"/>
  <c r="D35" i="5"/>
  <c r="H35" i="5" s="1"/>
  <c r="L39" i="5"/>
  <c r="D37" i="5"/>
  <c r="H37" i="5" s="1"/>
  <c r="L32" i="5"/>
  <c r="L37" i="5"/>
  <c r="O8" i="5"/>
  <c r="G13" i="5"/>
  <c r="O13" i="5" s="1"/>
  <c r="V7" i="5" s="1"/>
  <c r="AB7" i="5" s="1"/>
  <c r="O16" i="5"/>
  <c r="G6" i="5"/>
  <c r="G17" i="5"/>
  <c r="D33" i="5"/>
  <c r="H33" i="5" s="1"/>
  <c r="F41" i="5"/>
  <c r="W9" i="5" s="1"/>
  <c r="H31" i="5"/>
  <c r="C18" i="5"/>
  <c r="G18" i="5"/>
  <c r="C17" i="5"/>
  <c r="F18" i="5"/>
  <c r="F13" i="5"/>
  <c r="P15" i="5"/>
  <c r="V9" i="5"/>
  <c r="AB9" i="5" s="1"/>
  <c r="P14" i="5"/>
  <c r="F14" i="5"/>
  <c r="Z9" i="5"/>
  <c r="AA9" i="5" s="1"/>
  <c r="F17" i="5"/>
  <c r="F8" i="5"/>
  <c r="F16" i="5"/>
  <c r="Z8" i="5"/>
  <c r="AA8" i="5" s="1"/>
  <c r="V41" i="5" l="1"/>
  <c r="L14" i="5" s="1"/>
  <c r="D15" i="5"/>
  <c r="O41" i="5"/>
  <c r="M41" i="5"/>
  <c r="H13" i="5" s="1"/>
  <c r="G41" i="5"/>
  <c r="D14" i="5" s="1"/>
  <c r="O6" i="5"/>
  <c r="P16" i="5" s="1"/>
  <c r="H9" i="5"/>
  <c r="H17" i="5"/>
  <c r="O17" i="5"/>
  <c r="P13" i="5"/>
  <c r="D41" i="5"/>
  <c r="D42" i="5" s="1"/>
  <c r="L41" i="5"/>
  <c r="E41" i="5"/>
  <c r="H16" i="5"/>
  <c r="T41" i="5"/>
  <c r="L13" i="5" s="1"/>
  <c r="V10" i="5"/>
  <c r="C6" i="5"/>
  <c r="H18" i="5"/>
  <c r="O18" i="5"/>
  <c r="H8" i="5"/>
  <c r="AC9" i="5"/>
  <c r="AD9" i="5" s="1"/>
  <c r="X9" i="5"/>
  <c r="P8" i="5" l="1"/>
  <c r="W8" i="5"/>
  <c r="H14" i="5"/>
  <c r="D16" i="5"/>
  <c r="D9" i="5"/>
  <c r="D8" i="5"/>
  <c r="P17" i="5"/>
  <c r="V11" i="5"/>
  <c r="AB10" i="5"/>
  <c r="W11" i="5"/>
  <c r="AC11" i="5" s="1"/>
  <c r="W12" i="5"/>
  <c r="AC12" i="5" s="1"/>
  <c r="W10" i="5"/>
  <c r="AC10" i="5" s="1"/>
  <c r="P9" i="5"/>
  <c r="P18" i="5"/>
  <c r="V12" i="5"/>
  <c r="D13" i="5"/>
  <c r="W7" i="5"/>
  <c r="D18" i="5"/>
  <c r="D17" i="5"/>
  <c r="X8" i="5" l="1"/>
  <c r="AC8" i="5"/>
  <c r="AD8" i="5" s="1"/>
  <c r="AD10" i="5"/>
  <c r="X10" i="5"/>
  <c r="X7" i="5"/>
  <c r="AC7" i="5"/>
  <c r="AB12" i="5"/>
  <c r="AD12" i="5" s="1"/>
  <c r="X12" i="5"/>
  <c r="AB11" i="5"/>
  <c r="AD11" i="5" s="1"/>
  <c r="X11" i="5"/>
  <c r="E23" i="7"/>
  <c r="F23" i="7" s="1"/>
  <c r="C8" i="7"/>
  <c r="AD7" i="5" l="1"/>
  <c r="E18" i="7"/>
  <c r="F18"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tc={449F2B9B-A9FC-4165-8F14-357048AAF3A0}</author>
  </authors>
  <commentList>
    <comment ref="C2" authorId="0" shapeId="0" xr:uid="{449F2B9B-A9FC-4165-8F14-357048AAF3A0}">
      <text>
        <t>[Threaded comment]
Your version of Excel allows you to read this threaded comment; however, any edits to it will get removed if the file is opened in a newer version of Excel. Learn more: https://go.microsoft.com/fwlink/?linkid=870924
Comment:
    2021 (2,462 participants), 1016 (First semester of 2022)</t>
      </text>
    </comment>
  </commentList>
</comments>
</file>

<file path=xl/sharedStrings.xml><?xml version="1.0" encoding="utf-8"?>
<sst xmlns="http://schemas.openxmlformats.org/spreadsheetml/2006/main" count="1273" uniqueCount="476">
  <si>
    <t>Gender</t>
  </si>
  <si>
    <t>Q2</t>
  </si>
  <si>
    <t>Female</t>
  </si>
  <si>
    <t>Yes</t>
  </si>
  <si>
    <t>Male</t>
  </si>
  <si>
    <t>No</t>
  </si>
  <si>
    <t>Resonate Follow-up questions</t>
  </si>
  <si>
    <t>1)</t>
  </si>
  <si>
    <t>Has Resonate’s training had an impact on your life? If so, what is the one biggest change that has occurred in your life as a result of Resonate’s training?</t>
  </si>
  <si>
    <t>2)</t>
  </si>
  <si>
    <t>Since Resonate’s training have you (only if not mentioned above):</t>
  </si>
  <si>
    <t>a) Taken on leadership role (formal or informal)</t>
  </si>
  <si>
    <t/>
  </si>
  <si>
    <t xml:space="preserve">b) Gotten a new job or promotion </t>
  </si>
  <si>
    <t/>
  </si>
  <si>
    <t xml:space="preserve">c) Gotten academic opportunity </t>
  </si>
  <si>
    <t/>
  </si>
  <si>
    <t>d) Started a business or a community initiative</t>
  </si>
  <si>
    <t>e) Other</t>
  </si>
  <si>
    <t>3)</t>
  </si>
  <si>
    <t xml:space="preserve"> Do you have anything else to share with us?</t>
  </si>
  <si>
    <t xml:space="preserve">Participant number </t>
  </si>
  <si>
    <t>Obs No</t>
  </si>
  <si>
    <t>Org ID (avr edit)</t>
  </si>
  <si>
    <t>Participant ID</t>
  </si>
  <si>
    <t>Q1: Has Resonate’s training had an impact on your life?If so, what is the one biggest change that has occurred in your life as a result of Resonate’s training?</t>
  </si>
  <si>
    <t>Biggest Impact of Resonate</t>
  </si>
  <si>
    <t>Q2. Since Resonate’s training have you (only if not mentioned above):</t>
  </si>
  <si>
    <t>Q3. Is there anything else to share with us</t>
  </si>
  <si>
    <t>1 yr follow up done?</t>
  </si>
  <si>
    <t>Proactivity</t>
  </si>
  <si>
    <t>yes</t>
  </si>
  <si>
    <t>Survey type: One year follow-up</t>
  </si>
  <si>
    <t>Q4. Is there anything else to share with us</t>
  </si>
  <si>
    <t>Completed 1 year only (Y/N)</t>
  </si>
  <si>
    <t>Resopndents who were interviewed in 6 months and 1 year</t>
  </si>
  <si>
    <t>Six months</t>
  </si>
  <si>
    <t>One Year</t>
  </si>
  <si>
    <t>Six Months only</t>
  </si>
  <si>
    <t>One year only</t>
  </si>
  <si>
    <t>Both Six months &amp; 1 year - 
6 months in</t>
  </si>
  <si>
    <t>Both Six months &amp; 1 year - 
1 year in</t>
  </si>
  <si>
    <t>Final 
(Latest results - either 6 months only or 1 year)</t>
  </si>
  <si>
    <t>Q1 - Has Resonate’s training had an impact on your life? If so, what is the one biggest change that has occurred in your life as a result of Resonate’s training?</t>
  </si>
  <si>
    <t xml:space="preserve">Denominator: all participants </t>
  </si>
  <si>
    <t>Resonate had an impact</t>
  </si>
  <si>
    <t>No impact</t>
  </si>
  <si>
    <t>Q2 - Since Resonate’s training have you (only if not mentioned above):</t>
  </si>
  <si>
    <t>Started Business (Denominator: Only Businesses)</t>
  </si>
  <si>
    <t>Got a job/promotion  (Denominator: All observations)</t>
  </si>
  <si>
    <t>ANNEX</t>
  </si>
  <si>
    <t>6 months</t>
  </si>
  <si>
    <t>ALL OBSERVATIONS - 6 MONTHS</t>
  </si>
  <si>
    <t>ALL OBSERVATIONS - 6 MONTHS ONLY</t>
  </si>
  <si>
    <t>BOTH SURVEYS - 6 MONTHS IN</t>
  </si>
  <si>
    <t>ID</t>
  </si>
  <si>
    <t># people</t>
  </si>
  <si>
    <t>Business (YN)</t>
  </si>
  <si>
    <t>Education (YN)</t>
  </si>
  <si>
    <t>Organization included in the 6 months only</t>
  </si>
  <si>
    <t>TOTAL</t>
  </si>
  <si>
    <t>1 year</t>
  </si>
  <si>
    <t>ALL OBSERVATIONS - 1 YEAR</t>
  </si>
  <si>
    <t>ALL OBSERVATIONS - 1 YEAR ONLY</t>
  </si>
  <si>
    <t>BOTH SURVEYS - 1 YEAR IN</t>
  </si>
  <si>
    <t>Organization included in 1 year only</t>
  </si>
  <si>
    <t>Most significant Behavior Change</t>
  </si>
  <si>
    <t>Increase in self-awareness and confidence</t>
  </si>
  <si>
    <t xml:space="preserve">Increase in resilience </t>
  </si>
  <si>
    <t>Organization included</t>
  </si>
  <si>
    <t>Behavior Change</t>
  </si>
  <si>
    <t xml:space="preserve">Increase in decision making power </t>
  </si>
  <si>
    <t>One year</t>
  </si>
  <si>
    <t>#</t>
  </si>
  <si>
    <t>%</t>
  </si>
  <si>
    <t xml:space="preserve">Started Business </t>
  </si>
  <si>
    <t xml:space="preserve">Got a job/promotion  </t>
  </si>
  <si>
    <t xml:space="preserve">Got academic opportunity  </t>
  </si>
  <si>
    <t xml:space="preserve">Got Leadership role </t>
  </si>
  <si>
    <t xml:space="preserve">Proactivity </t>
  </si>
  <si>
    <t>In-person</t>
  </si>
  <si>
    <t>Got Leadership role (formal) (Denominator: all observations)</t>
  </si>
  <si>
    <t>Got Leadership role (informal)  (Denominator: all observations)</t>
  </si>
  <si>
    <t>Informal Leadership</t>
  </si>
  <si>
    <t>Age</t>
  </si>
  <si>
    <t>Total</t>
  </si>
  <si>
    <t>Q1</t>
  </si>
  <si>
    <t>Q3</t>
  </si>
  <si>
    <t>Q4</t>
  </si>
  <si>
    <t>Virtual</t>
  </si>
  <si>
    <t>Started a Business</t>
  </si>
  <si>
    <t>Got a Job/Promotion</t>
  </si>
  <si>
    <t>Got an Academic Opportunity</t>
  </si>
  <si>
    <t>Got a Leadership role</t>
  </si>
  <si>
    <t>Participants Trained #</t>
  </si>
  <si>
    <t>Comment</t>
  </si>
  <si>
    <t xml:space="preserve">Participants Surveyed # </t>
  </si>
  <si>
    <t>Targeted Participants #</t>
  </si>
  <si>
    <t>Follow-up target</t>
  </si>
  <si>
    <t>CHECK</t>
  </si>
  <si>
    <t>Job (YN)</t>
  </si>
  <si>
    <t>Survey type: 6 Months Follow-up</t>
  </si>
  <si>
    <t xml:space="preserve">In-person </t>
  </si>
  <si>
    <t># of Participants</t>
  </si>
  <si>
    <t>Consolidated</t>
  </si>
  <si>
    <t>Total surveyed</t>
  </si>
  <si>
    <t>Got an Informal Leadership</t>
  </si>
  <si>
    <t xml:space="preserve">Got Formal Leadership </t>
  </si>
  <si>
    <t>Indicators</t>
  </si>
  <si>
    <t xml:space="preserve">Consolidated </t>
  </si>
  <si>
    <t>Organizations Included</t>
  </si>
  <si>
    <t>Organizations included</t>
  </si>
  <si>
    <t>Remaining Participants</t>
  </si>
  <si>
    <t xml:space="preserve">Org ID </t>
  </si>
  <si>
    <t>Grand Total</t>
  </si>
  <si>
    <t>Participants surveyed</t>
  </si>
  <si>
    <t>All participants</t>
  </si>
  <si>
    <t>Participants trained for the follow-up period</t>
  </si>
  <si>
    <t>Got academic opportunity  (Denominator: only education institutions)</t>
  </si>
  <si>
    <t>Below 18</t>
  </si>
  <si>
    <t>Above 35</t>
  </si>
  <si>
    <t>19-25 years</t>
  </si>
  <si>
    <t>26-35 years</t>
  </si>
  <si>
    <t>By Number</t>
  </si>
  <si>
    <t>Both six and one year</t>
  </si>
  <si>
    <t xml:space="preserve">One-time </t>
  </si>
  <si>
    <t xml:space="preserve">Note that the workshops that were completed in 2021 are manually entered </t>
  </si>
  <si>
    <t>Six-Months</t>
  </si>
  <si>
    <t>One-Year</t>
  </si>
  <si>
    <t xml:space="preserve"> </t>
  </si>
  <si>
    <t>Note that the details from this document are manually entered, and some figures count double participants who were surveyed both in six-months and one year)</t>
  </si>
  <si>
    <t>Haguruka Rutunga</t>
  </si>
  <si>
    <t>I feel confident now and I am right now focused on the development of my family. Being confident allowed me to be proactive and I went back to farm for others and I am able to get money to pay for my children's school fees and I even have a goal to expand and develop what I do and I am confident to achieve the goals</t>
  </si>
  <si>
    <t xml:space="preserve"> My life changed because my mindset changed, I gained confidence and I felt capable  The workshop helped me take a decision to go back to school, study and finish secondary school. I will rejoin S3 in September, and I will immediately continue with TVET so that I can quickly start making money</t>
  </si>
  <si>
    <t xml:space="preserve">No Follow-ups done </t>
  </si>
  <si>
    <t>I now take care of myself, I have accepted my situation. I am now taking good care of my children and  I gained confidence to start a project of cultivating sorghum , and the money I gain, I save it in a savings group. (started a business)</t>
  </si>
  <si>
    <t>My life changed, I started to look for money, improved my life and now my children are back in school and  The workshop gave me courage to start an income-generating activity of cultivating sorghum and I was able to get more means and my children can have school materials and I pay for their health insurance ( started an income generating activity)</t>
  </si>
  <si>
    <t>Participant Names</t>
  </si>
  <si>
    <t>NWC Remera</t>
  </si>
  <si>
    <t>Uwamariya Assumpta</t>
  </si>
  <si>
    <t>Before the workshop, I was someone who didn't have any goals in life, but after training, I managed to set some goals, and I am on track; as a leader, I learned how to resolve group conflict and live in peace with my colleagues, most I know how to save, and I opened my account to meet my December goalsI learned how to save and diversify capital hence increasing profit for my business.I learned how to find a solution for oneself in case of a challenge; for example, Yvette shared with us her life in Canada and how she used the skills of braiding hair to change her financial status, from this I learned that I don't have to fear, I am risk taker now, have access to finance, ask for loan and be good manager of my business in order to reach on my goals.after the workshop, our cooperative life changed for good; our weekly savings increased from 700 to 2000 per person, we have that spirit team where we share in times of sorrow and happiness, cooperative conflict are manageable now, we take some loans and paid it with interests for proper development of our cooperative.We have managed to change some cooperative rules and regulations for proper cooperative management  and  as it is easy to use money while you have  goals with team spirit</t>
  </si>
  <si>
    <t>Now I learned to work with others, we work together in harmony , lend each other money - I gained the confidence to ask for a loan and work hard to pay itUsing storytelling, I was able to speak with others and learn from them, I discovered myself and I am no longer scared to face any challenges I face in my businessThe workshop helped me to develop myself, we take care of our funds better, we save so that we achieve our cooperative goalsThe workshop helped me to develop myself, we take care of our funds better, we save so that we achieve our cooperative goals</t>
  </si>
  <si>
    <t xml:space="preserve"> It helped me to be where we work now, we live in groups, yes, I used to trade, but today when I trade, I write in order to know exactly what I have earned, what I have spent, and I understood that the amount of capital you can makeI used to be in the group and I felt like the only leader, but I understood that he is someone who strives to bring change and deal with everything. Now I take the initiative and solve all the problems with the help of the group. I save and it helps me to progress in my business, because every member lends to him in savings and it reached me and helped meYes, it has helped me to be patient in what I do, when I am waiting for an accident it has made me not give up The workshop helped us put together what we learned, each of us a leader and in general,The workshop helped us to understand each other, we set up ways for money to work between us, through mutuality and bringing it together with profit</t>
  </si>
  <si>
    <t xml:space="preserve">
It helped me learn to value myself, and I understood that there was something I could do to develop myselfIt helped me understand that I have to work hard, my confidence increased, I was able to know how to receive customers and get along well with othersThe workshop taught me not to give up, even if things don't go well because I have a goalAlthough some are discouraged but some of us continue, we get along well, we understand each other, and even now we are saving and it is useful for us.We are brave, we lend each other money, and we help each other to achieve our goals, even though there is still a challenge that there are no buyers in our place of work.</t>
  </si>
  <si>
    <t>Cecile Niyonsenga</t>
  </si>
  <si>
    <t>The training helped me to know what a leader is, and how he should dedicate himself to people, to know how to spend the money I earned, in short, how much capital I used and how much it was worth, and the story of the tree and its roots taught me to always know where I came from, where I want to go and set goals. The workshop helped me to know how to develop myself, what business is and the money I received, I sold it, and I am still working; I did not lose because of the knowledge I got from the training
As someone who used to work on the streets, now that I have my own place I know that even with little money you can work, stay together and grow as a woman.They have helped us now by teaching us how to save well and helping us in our daily developmentNot applicable</t>
  </si>
  <si>
    <t>The training gave me an understanding of how I felt, now I live better with people, based on the lesson about how the bird was the first to help and solve problemsNow I know how to kurangura, save in a savings group,and leave some to solve problems, and the tree of life helped me reflect on my life and that helped me have goals to improve and develop myself Because of the courage I have to achieve my goals, I do not give upIt helped us save 100 but considering how big our goal is now at 2000 every Monday, it helps us to keep the money growing for each member.
He taught us to work well together and be honest which helps us to save and get along well.</t>
  </si>
  <si>
    <t>Uwineza Laurence</t>
  </si>
  <si>
    <t>Community Programs Kirehe (Six-Months - 366)</t>
  </si>
  <si>
    <t>Power Her ( Six-Months - 15)</t>
  </si>
  <si>
    <t>After the training, I learned how to live with others well, I understand who the leader is, I walked the tree of life and gave myself to live a purposeful life, I became smart and more. the benefit I got, I write every day and do things with a plan that helps me in my daily development. the other one helps me to evaluate why I didn't reach what I decided and put effort into it. The lesson of the big bird taught me to find solutions, now I know how to advertise products using status, those who pray and discuss what I do, and I can also bring you at home when necessary, I look good, clean and polite to receive my clients. It helped us to have a good relationship and put them together without arguing, we shared what we learned and they also listened to us, and our savings increased and made us trust each other and sell to each other. Now we don't wait for external support, we are determined to find solutions for ourselves and it is working for us. He helped us to know what to do, something that can be done instead of dying to buy and spend money that is not in line.</t>
  </si>
  <si>
    <t>I learned how a person should take good care of his property, whether it is small or big, and now I know how to manage it and know the profit I made, capital because before I used to ride a bicycle and I was bankrupt, but now I know where I am from and where I am going. I know how to receive a customer, talk to him, and prepare well and clean in my cleaning and personal hygiene, which makes many people go to my business. You gave us how Yvette learned to pour outside and I dare to follow the examples and lessons we learned in the training. After the training I came to talk to my people and I also saw changes in their lives. the way we talk to our clients and care for them. Now we know how to save and use the money we have been given and we pay its interest and everyone was able to understand it thanks to this training.</t>
  </si>
  <si>
    <t>Uwihoreye Marie Henriette</t>
  </si>
  <si>
    <t>At the end of the training, I understood that the manager is someone who knows how to deal with any problem. In the problems we had, they were solved in our group. I have a lot of capital, I use what I have, I have customer care, and my relationship with my colleagues is changing, now I am with others at a pleasant level. It has helped me to be patient even when things don't go well and to have confidence in life and wait and see if it happens rarely. We put together, we raise each other, we exchange ideas on how to improve ourselves. Many of us have managed to finish it, and we pay with interest, because now our ideas are together and there is no more confusion.</t>
  </si>
  <si>
    <t>Ingabire Sifa Ange</t>
  </si>
  <si>
    <t>Even though I had a serious accident and suffered a shock that made me not reach my goal, but I succeeded in three things in the way of family hugs, Like the big bird that disappeared in the forest, I feel that I have the strength to face all the problems and the tree of life to know where I am going is important in life. Because of the accident, I no longer work. but I have plans to go back because I'm confident after this month on Friday The place is still registered but I'm not working because of an accident. I had an accident after a while we trained I don't have much information but looking at it gave us progress from savings and patience to face each one that comes. There is support for us, but they tell us that we will lend them in order to have a place to start and to dare to go to the bank</t>
  </si>
  <si>
    <t>Uwimana Amina</t>
  </si>
  <si>
    <t>Munyange Solange</t>
  </si>
  <si>
    <t>The change happened is that I learned to be patient, I learned to work even in the situation I have, now I don't ask for a man from wherever I came from, I became like a big bird and learned to find solutions and not underestimate myself, the life of depression and discouragement is not a cure. clothes, with patience and hard work I see results in my business growing day by day our savings, we learn to help each other and lend each other, we follow the lesson of the tree, we set goals and see where we are going, we break the same line, we are satisfied in everything. In our group because we have a goal to put together and work together, it helped some in not going out of the market when they lacked capital because we borrowed from each other, no one left the market because he lost capital, we learned to use our money in a meaningful way instead of wasting it.</t>
  </si>
  <si>
    <t>The training has helped me in many ways, before I was working but the ones I earned or used, now I see that I get rid of those savings and it has helped me, I learned to sacrifice and save and I talked to my colleagues and they understand it. Even if I don't manage to get these clients, it won't make me close my doors and make a loss. He taught me to be patient, to wait because I have confidence that tomorrow is good, I don't want to go back to the life of swinging but I have a goal of where I want to go. the money comes to us, we work again and he taught us how to take a loan and pay it back with interest and it was good.</t>
  </si>
  <si>
    <t>Janviere Umurerwa</t>
  </si>
  <si>
    <t>He helped me to find a solution, to save, now I don't buy something I don't plan or plan, now I want money and know how to prepare it well, it attracts clients so that even if I put it on the status and advertise it and do it with others in order to find solutions. Before I thought that the actual business is the only way to make a living but now I know I plan what I need to do, I calculate it well, I don't waste it and I know the capital, the profit and what is left to help me in my daily life. as the times come. We really woke up and determined what to do and we are in the fight to rebuild ourselves, we are saving, we only sell to each other even though we have been trained but we need more training because there are those who have not yet grasped the concept of life, visit us often because it does not increase our strength. most of us return it to the group's account, and it has helped us a lot because we used it well, we started with 50 thousand, once you pay they give you 75 thousand, now we are planning to go to 100 thousand in order to continue to improve and learn the culture of saving and using money in the program.</t>
  </si>
  <si>
    <t>Uwizeyimana Annonciata</t>
  </si>
  <si>
    <t xml:space="preserve"> helped me progress, I felt comfortable even though I gave birth when I was young but now I feel that I have a chance in life, I got up and worked hard even if it was a little, now I know not to waste my money and use what I have and it put me in order. He helped me to know how to receive clients, When I walk on the big bird, I'm brave, I can save, I do things with confidence and I like it. After the training, we didn't get any more money, so we continued to save and negotiate where necessary.</t>
  </si>
  <si>
    <t>The workshop helped me to know who the leader is, we learned about the tree of life and we set goals, now I know how to make decisions, now I know the story of my life, how I lived, where I am and how I will live. my clients and how to live peacefully with everyone. After I set goals I realized that to achieve them I need patience, I work hard, I ask for help where I need it and it helped me. It helped us to be brave, now we feel like leaders and help each other in solving problems. , then the group decided to borrow it among us, paying with interest, this helped us to learn how to spend money and choose what is important and not waste it, even if there are those who are not honest.</t>
  </si>
  <si>
    <t>Mutuyimana Leoncie</t>
  </si>
  <si>
    <t>I managed to get along well with others, I was always lonely and there were many problems, but now my confidence is back, and you taught me how to lead others and be patient every day. I accompanied him and took him to the car that was given to me by the clients, now I take loans and solve problems and my business has grown, you have done a lot. We learned to work together, like now I learned to be honest and ask for a loan and I was alone it was not possible, now we help each other and work together, help each other, have fun, for example, most of them had already left but we went to look for them and encourage them to come and even give caribs and newcomers, now there is no empty space again we have filled all the places 21 It has people and we are living together to develop.</t>
  </si>
  <si>
    <t>Mukambaraga Christine</t>
  </si>
  <si>
    <t>He helped me to be brave, to be a woman who would develop myself, I am expanding and now I take care of my family with ease. I used the little money I had well, now I am saving and I see a business going well, He helped me not to get discouraged, I put myself together with others, and now I have the goal of what I want to achieve. He taught us to work together, You see, we have the intention to work, even if we have little capital, we will come to work without any reason, the little we have is to use it well.</t>
  </si>
  <si>
    <t>NWC Kimironko</t>
  </si>
  <si>
    <t>NWC Gisozi</t>
  </si>
  <si>
    <t>Karera Geneveva</t>
  </si>
  <si>
    <t>Claudine Niyigena</t>
  </si>
  <si>
    <t>Uwantege Jeanne d'arc</t>
  </si>
  <si>
    <t>Angelique Niragire</t>
  </si>
  <si>
    <t>Charles Ndikumweyo</t>
  </si>
  <si>
    <t>Veredian Nyirahabimana</t>
  </si>
  <si>
    <t>Joselyne Kanziza</t>
  </si>
  <si>
    <t>Ushizimpundu saverine</t>
  </si>
  <si>
    <t>Gelardine uwemerimana</t>
  </si>
  <si>
    <t>Gasengayire Jackline</t>
  </si>
  <si>
    <t>Ubaruta Anitha</t>
  </si>
  <si>
    <t>Josephine Mukamana</t>
  </si>
  <si>
    <t>Yvette Mukakimenyi</t>
  </si>
  <si>
    <t>Clementine Mukandayisenga</t>
  </si>
  <si>
    <t>Florah Kabatesi</t>
  </si>
  <si>
    <t>Pascaline Nyirahabimana</t>
  </si>
  <si>
    <t>Nyirahabimana Triphina</t>
  </si>
  <si>
    <t>Providence Ingabire</t>
  </si>
  <si>
    <t>Vestine Tuyizere</t>
  </si>
  <si>
    <t>Jeanne Umuhoza</t>
  </si>
  <si>
    <t>Josephine Mushimina</t>
  </si>
  <si>
    <t>Uwineza Claudette</t>
  </si>
  <si>
    <t>Beatrice Mushimiyimana</t>
  </si>
  <si>
    <t>Muhawenimana Desderi</t>
  </si>
  <si>
    <t>Nyinawumuntu M Louise</t>
  </si>
  <si>
    <t>Francoise Nyiransabimana</t>
  </si>
  <si>
    <t>Marianne Uwimana</t>
  </si>
  <si>
    <t>Joselyne Nyampinga</t>
  </si>
  <si>
    <t>Daria Uwimana</t>
  </si>
  <si>
    <t>Vareriya Uwitonze</t>
  </si>
  <si>
    <t>Jeannine Tabaruka</t>
  </si>
  <si>
    <t>Jeanne Byukusenge</t>
  </si>
  <si>
    <t>Nyiraneza Zuena</t>
  </si>
  <si>
    <t>Halima Nyiranzankundukize</t>
  </si>
  <si>
    <t>Adeline Uwizeyimana</t>
  </si>
  <si>
    <t>Francine Uwayisenga</t>
  </si>
  <si>
    <t>Zawadi Akimanimpaye</t>
  </si>
  <si>
    <t>Perusi Ayingeneye</t>
  </si>
  <si>
    <t>Elisabeth Dushimirimana</t>
  </si>
  <si>
    <t>Clementine N.nzabahimana</t>
  </si>
  <si>
    <t>christine Uwizeye</t>
  </si>
  <si>
    <t>Nyiramariza Mariam</t>
  </si>
  <si>
    <t>Agnes Musabyimana</t>
  </si>
  <si>
    <t>Emerita Uwimana</t>
  </si>
  <si>
    <t>Immacule Mukabayizere</t>
  </si>
  <si>
    <t>Mediatrice  Uwamurera</t>
  </si>
  <si>
    <t>Jacqueline Uwase</t>
  </si>
  <si>
    <t>Nadine Ntakirutimana</t>
  </si>
  <si>
    <t>Niyobuhungiro Francine</t>
  </si>
  <si>
    <t>Vumiriya chantal</t>
  </si>
  <si>
    <t>Beretsurora Oliva</t>
  </si>
  <si>
    <t>Uwimana Jocelyne</t>
  </si>
  <si>
    <t>Jeannette Uwimana</t>
  </si>
  <si>
    <t>The workshop helped me to persevere and persevere because of the big bird. I learned that if you know what you want and don't accept what you get, all the obstacles I have to fight to get out of it. After this workshop I took the goal to reach the debt level, now I know how to distinguish capital, profit and other needs, now I'm a little short of achieving it because my business is going well. I avoided getting discouraged, because I know what I want, now I'm confident that I'll achieve what I want even if I don't get clients today, I have to wait for them, and I'm looking for these clients using WhatsApp status and on our websites. they have been getting discouraged but there are only a few of us left, we are 10, now we are electing another committee, we are getting together to find the strength to continue and unite. They tried to pay but we really made the most o</t>
  </si>
  <si>
    <t>helped me overcome my fear, even if it's a small thing, I can now work and I've come a long way. doing well is not a problem. I have learned not to be discouraged and to be confident and I continue to encourage others to come back and those who have been discouraged, now that they have come back they have come to improve. , and let's get together to bring him together. There was a grant we received from Profemme together, we used it by saving, selling to each other and we are now where we are thanks to them</t>
  </si>
  <si>
    <t>helped me to understand better, the sadness of being married is gone because of living with others and sharing our stories, He helped me to know how to spend money when I have and save so that I can continue to live a good life with my children. He helped me to be patient because I had a goal, even though I succeeded but I remained calm even now we are not together It's going well. The group we had broke up because most of them left, now we are changing the leaders so that we can continue to work only those who are left and we have been strengthened by training because we have set goals and we know that it will come. to come</t>
  </si>
  <si>
    <t>helped me to meet others, we share our stories and it helps me to get out of loneliness, I feel that my friends are friends with each other. When I get the money I pay because I sell children's clothes, I not only wait for these clients but also go to my acquaintances and find them and put clothes on them, although it is difficult because of the life outside here but I continue not to be discouraged. The training helped me to stay together, the life of swinging or even working in an illegal place, because you took care of us by giving us training and my place, I feel like I would stay together. As our group, most of them left but the rest of us learned to save, we pay our debts, we are doing in order to increase what we do, we continue put together. They gave us money, then we take 50 thousand and we are going to sell it, then we pay with interest, now we have reached the second loan and we hope that it will go well because we know what we want.</t>
  </si>
  <si>
    <t>helped me to feel like a leader, I don't have a problem now that I shout but I look for a solution and solve my problem, Sharing stories with others took me out of grief, and depression now history has changed, I get along well with others without problems, I learned to save life and talk to others and give them advice that it can be done. The training taught me that I don't have to sit together, I have to look like an example in what I do, I was lucky to have a place to work. I look at the benefits of the future more than the moment until I reach success. He gave us to put together, help each other and we all left the road sitting together, the confidence of life is back and we are ready to face all the difficulties. .</t>
  </si>
  <si>
    <t>helped me grow little by little, I learned how to use the money no matter how much it is, He helped me to separate the capital, profit, and also to save, now I have to go to work with others, you feel that my business has expanded. I have learned not to give up because I know what to do I want, I got a good start and I won't go back on the road. He taught us to put together, life changed and we all improved. We borrow from the group and increase the capital, the money is more, it helps us to pay the interest, now we are bold.</t>
  </si>
  <si>
    <t>I learned to save, I don't waste, I learned how to do my things according to the goals. He helped me a lot, I learned to use the little money I have to expand and have a goal of what I want to achieve. I did not see enough profit in the sector, so I decided to expand my activities. I changed my company by changing the place of work / I moved the set to another market but we are together because I discuss what we have learned in the training and it helps us. Not applicable.</t>
  </si>
  <si>
    <t>helped me to know what a leader is, now I deal with all the problems as they come, I have regained my confidence in life and I am seeing the difference in the little money I have, I have learned to use it, now I do it, I do business and it is going well. I don't want to work on the street, but now I am determined to sit together and have something to offer, I have the confidence to go from one level to another in my business. We are together, we save, we help each other and it has improved all of us. whatever size.</t>
  </si>
  <si>
    <t>helped me to know how to progress, how to use a little capital and go far, to live with others well. Before I always felt it was difficult because of the capital and I always felt that I was always begging but now I learned to improve with what I have and apply for a loan and it worked, I am confident as a woman and I am satisfied. , I am looking forward to future profits even though the market is still new but there is hope that it will come, I can see it now. He helped us to put together through savings, we dare not take a loan to continue developing. Profemme gave us money, we decided to sell it to each other, now we have reached the second loan because we know what we want, because we have made it our goal to eat less and save first.</t>
  </si>
  <si>
    <t>helped me to know how to save, before I only worked for food, now I save, it helped me to get a loan to increase my capital, I followed your teachings and I looked for answers, now I receive these clients, I am looking for these clients even though my things are not enough but I continue to expand. I like to work, I was looking for a place I have the opportunity to find a place and my training taught me to look ahead and to be confident and that is what makes me continue to work in the market. it's about how it's not working properly</t>
  </si>
  <si>
    <t>helped me in terms of building a family, getting close to the children and talking to them, in short, the training gave me confidence, now I am friends with my children, I lost my capital, the business stopped. profemme, then he came to the group and we had a loan, but it didn't work, there was a lack of money and hunger/problems we still had debt</t>
  </si>
  <si>
    <t>helped me to know how to work towards goals, to give time to my plans, to plan my project, including management to go well with those I lead, to show my values, how a person tells the story of his life and helps others. for children we love each other, share ideas, meet each other, and see together what our savings can do</t>
  </si>
  <si>
    <t>I learned how to build myself, and live with others because one head doesn't give advice, I have a dream to be a great businessman and I'm working on it. I work even though I don't have enough capital but I continue to improve my confidence. , I have to be a good citizen and keep looking for solutions. He helped us to be together, we dare to do it and do.</t>
  </si>
  <si>
    <t>helped me get close to my colleagues, I work to improve, my heart is at work and we help our families. I learned to work with others, I dare to take a loan and use it and pay, I see that the business is going well. The road is not good, there is no safety but here I am calm and I have the goal of what I want to achieve, I was given the value of being given the place where I work now, my confidence has returned, there is no sun, no rain, it makes me think clearly. He helped us to reflect and understand each other, we find that we are values ​​that give us strength to work together, the best is ahead. Profemme gave us money as a team , they allow each member to get 50 thousand, as a loan, although we are few but we want to work without going back, now we have reached the second loan</t>
  </si>
  <si>
    <t>Now I know how to find a solution when I have a problem and live with others in peace Giving care to clients, now I save because I know how to balance capital, and profit, and to live every day It has reached the group and we have taken the loan and it is going well because we are confident, we know the basics of looking for improvement.</t>
  </si>
  <si>
    <t>I learned to learn and believe in a better life in the future, I am strong, I do it with a purpose, I learned how to spend money no matter how much, I learned how to accept my peers and count what I have earned or spent in order to have a good business. Now I'm expanding, we've joined forces, our classmates exchange ideas on how to move forward. Because of putting together and agreeing we were able to pay off our loan, now we've reached the second</t>
  </si>
  <si>
    <t>helped me to feel free, confident, my relationships with others, how I raised children and looking for a sustainable life. It helped me to increase my clients because I know what I do, how I look and what I sell is good. what I do is respectful, and I do things that are meaningful and profitable because of your teachings. He helped us respect each other, we love each other and work together as if we are like brothers, we trade with each other. There is money that Profemme gave us, we sell it and save it because we know what we want and the value of money, now we have reached the second loan.</t>
  </si>
  <si>
    <t>helped me to know how to have progress, cleanliness, to know the time I value, to love work and to know how to receive peers. He helped me to work and know how to separate capital, profit and to combine it with my daily life, I learned the best way to carry out and trade to improve. I have to build myself up, I know how to find these clients and I see them giving me the strength to not go. He helped us to save well and to borrow easily and we are learning to work together. Profemme gave us money then between us we started to sell it and we are paying well.</t>
  </si>
  <si>
    <t>helped me to know where I came from, where I am, where I am going, the sadness is gone since I left the training, I was brave enough to talk to others, I don't say bad things to my family because I used to torture them and go through the past injuries caused by their fathers. .It gave me the strength to work, because I know what I want and I have a goal to expand and live well. After recovering from grief and regaining confidence, I decided not to give up, I am doing well. It helped us to change our character, we live well without any problems. We were able to use it because we knew what we wanted in life,</t>
  </si>
  <si>
    <t>helped me to know how to work together, get off the street and now I work without any problems. He helped me to know how to receive these clients, to do good things that attract these clients to your products. The new market does not have enough clients, but I am confident that the market will become stronger and we will do well, this is what I learned. We went to the training when we started the group, we learned how to combine our efforts to save and save us from problems and losses, life has changed.</t>
  </si>
  <si>
    <t>helped me to know how to develop myself, to be confident, how to use the little money I have and to be with others well. and everything I learned from the training. We are confident, we know each other in detail and we help each other with our savings. Considering that he helped us to be brave, it gives us the strength to know how to use the loans we have been given well even if not all of us, our business is expanding and we continue to work on the goals we have set,</t>
  </si>
  <si>
    <t>Based on the talk of the big bird, how he fought passion and I am left to work and take the initiative in solving problems, I don't wait for others, I learned that I don't live without purpose, I live without despair, fear disappears, I dare with my little capital and get up and work. He helped me not to be afraid even though we are in a market that is not yet known I hope to improve, I'm learning to save now and love it. Hope is created and to have a purpose in life. We put together our group and give strength, we put more shares in saving, because of working together we give each other strength, and I talk to my friends, we don't feel sad, the group has become like a family. Because we know the value of money, that we see that we use it well, we pay it with a lot of interest that this is an increase in savings and will help us in the days to come</t>
  </si>
  <si>
    <t>helped me find a solution when I see a problem, I work in every way to get out of it. I try to find a way to expand by saving and putting together my friends and meeting the needs of these clients, welcoming them and taking care of how I organize my workplace. How can I improve because my family should live well, I learned to talk with other parents and comfort each other, I am not alone and comfort is everything, We learned to put together, discuss and save to achieve our goals. We are brave enough to face the market with any problem</t>
  </si>
  <si>
    <t>helped me to know how to save, to know what I have invested, what I have earned and I have used it and I am moving forward in life. Before I used to buy and trade just to eat but now I trade to achieve a good goal to live well, confidence has been high and I feel capable. The training made me think far , my capital is growing because I'm working on the goal, the more I work with others the more I build myself. He gave us the strength to work together, help each other and consult. even the way of saving we continue it.</t>
  </si>
  <si>
    <t xml:space="preserve"> helped me to know how to use money properly, not only in the food plan, there was a woman who testified that she saved and went far, I also came to my goal and I reached about 80% of my goal. My business grew and from little money because you told us that there is no money It doesn't exist but it depends on how you used it, now I know how to manage my things well. What motivates me is that I look far, I don't get discouraged because of a small beginning but you have the goal of reaching a destination. breaking one line, the character changed completely. He helped us to dare to take a loan because we knew it was in our interest, and we finished paying the first one and now we have reached the second level and we are preparing to take another one</t>
  </si>
  <si>
    <t>The first thing I learned is to save, I have been working for a long time but you don't give me a penny, now saving has helped me not to lose capital, so my life has changed. You see, before I was walking on the street but now I come to my place full of clothes because we haven't been trained yet, we were working badly, I have no capital, I am not working for you .We take places where there are many people who want them. For the benefit of each member, we are confident now that we have reached the second loan and it has helped us a lot in our business and living well in the future</t>
  </si>
  <si>
    <t>helped me to know how to work and work with a purpose and to write down what I have achieved, how to sell it if I made a profit or where I failed, now I know how to make a business plan, I know what it is to be a real entrepreneur, now it gave me the effort to work and advertise my business. I had little capital but I knew how to use it. I am the substitute teacher who helped me a lot, the way I was at that time is not the way I am, I liked what I am doing until now and it is stable. Although there are no shortages, I saw that we are taken care of and loved, I also feel loved, it makes me enthusiastic and love the market, especially because I have a good set. He helped us put together, we learn to save, we dare to take measures to increase our products.</t>
  </si>
  <si>
    <t xml:space="preserve"> helped me to know how to save, work hard and improve, he helped me to know how to behave in a big family. he helped me to be confident, I feel that I should improve and accept in every problem. .He helped us to live a purposeful life, learn to cooperate and work together</t>
  </si>
  <si>
    <t>It helped me not to be discouraged, to work with the goals of what I want to achieve, I learned that I have the ability to achieve far. I learned that working does not have to be a lot of things but it requires will because it is to be able to Hope for the future and persevere as we were trained. We help each other as much as we can either in meetings or in practice. We have realized the benefits of saving and working towards goals that encourage us to work and dare to take loans in order to develop and expand our activities</t>
  </si>
  <si>
    <t>training helped me to be brave and live with others, to love myself and to be able to save, It helped me to know how to clean my workplace and my products, to know what my peers need most, to know how to receive my customers well and to work towards the goal of what I want to achieve. to see the future benefits. He helped us to work together and improve at all levels. He helped us to dare to take loans in order to develop ourselves</t>
  </si>
  <si>
    <t>After the training I learned to learn and value myself and I understood how to live with others in the wider family especially my own and many more. It helped me to know how to receive these clients, as well as how to properly organize my business, how to properly plan how to meet the needs of my peers. It helped me to be strong and patient while waiting for things to go well. It gave us the strength to work together and it helped us to make decisions and save and trade where necessary</t>
  </si>
  <si>
    <t>training helped me to be brave and set a life goal, and I learned how to live with others well and I learned how to save and plan for the future. More than anything else. Because I learned to be patient and see a better tomorrow than what I am doing today. It helped us to be brave and put together in our group to save.</t>
  </si>
  <si>
    <t>helped me to question my life, where I came from, where I am going and find the purpose and the goal of what I want to get out of life. I joined a savings group because of my goals. and it continues to go well. He woke us up to enter the life of working together, now we have a goal, we sell to each other when someone needs help and we give it to them whether it is money or ideas.</t>
  </si>
  <si>
    <t>Cyomugisha Peninah</t>
  </si>
  <si>
    <t>Kiberinka Ange</t>
  </si>
  <si>
    <t>Uwera Enidi</t>
  </si>
  <si>
    <t>Uhorasenga Anitha</t>
  </si>
  <si>
    <t xml:space="preserve">Neema  Uwingabire
</t>
  </si>
  <si>
    <t>Uwase Louise</t>
  </si>
  <si>
    <t>Ukwibishaka Emelyne</t>
  </si>
  <si>
    <t>KAYITESI Nadine</t>
  </si>
  <si>
    <t>Niyobyose esther</t>
  </si>
  <si>
    <t>Ingabire  fabiola</t>
  </si>
  <si>
    <t>NYANA  Aline</t>
  </si>
  <si>
    <t>Ayishakiye clementine</t>
  </si>
  <si>
    <t>Nibishaka delphine</t>
  </si>
  <si>
    <t>uwineza Josiane</t>
  </si>
  <si>
    <t>akimana ratifa</t>
  </si>
  <si>
    <t>Muhawenimaña Emerance</t>
  </si>
  <si>
    <t>Umwari Vanessa</t>
  </si>
  <si>
    <t>Umutoniwase Henriette</t>
  </si>
  <si>
    <t>Niyigena emmerance</t>
  </si>
  <si>
    <t>Uwimana rosine</t>
  </si>
  <si>
    <t>Umurerwa Marie</t>
  </si>
  <si>
    <t>Umutoni Kevine</t>
  </si>
  <si>
    <t>Musanabera Yvonne</t>
  </si>
  <si>
    <t>Muhongerwa Grace</t>
  </si>
  <si>
    <t>Uwimbabazi Annet</t>
  </si>
  <si>
    <t>Agahozo aderine</t>
  </si>
  <si>
    <t>IRAKOZE Kellia</t>
  </si>
  <si>
    <t>Mumporeze chakillah</t>
  </si>
  <si>
    <t>irakoze cynthia</t>
  </si>
  <si>
    <t>Umuhoza divine</t>
  </si>
  <si>
    <t>Ñshutiyamahoroaurerie</t>
  </si>
  <si>
    <t>Musabwanyana  carine</t>
  </si>
  <si>
    <t>Gihozo alice</t>
  </si>
  <si>
    <t>Nakimana Latifa</t>
  </si>
  <si>
    <t>UWANYAGASANI  Noella</t>
  </si>
  <si>
    <t>uwamahorobenitha</t>
  </si>
  <si>
    <t>Uwase lea</t>
  </si>
  <si>
    <t>Umuhire Ange</t>
  </si>
  <si>
    <t>IRATUZI eugene</t>
  </si>
  <si>
    <t>Irankunda Asifiwe Kenia</t>
  </si>
  <si>
    <t xml:space="preserve">Irakoze Nasale
</t>
  </si>
  <si>
    <t>Kirehe students</t>
  </si>
  <si>
    <t xml:space="preserve"> I learned how I can avoid temptations, and everything that would lead me into bad behaviours The decision I made is that no one would tempt me into bad influences and make me do bad things   Ibikorwa nakoze nibyo kwiga kuko binyinjiriza amanota meza bigatuma ngaragara neza mubandi nkagira amanota meza Amahugurwa icyoyamfashije yatumye nigirira icyizereIntego yajye yariyo kuzamuka mumasomo yajye nkiga nezaNuko Resonate yanyigishije ntacyo nayishinja nakimwe kubera ko barabizi nezaYego kongera imbaraga muguhugura abana babakobwa mukabaganiriza impande zose zi Igihugu cyucu maze tukagira ejo heza tukubaka Urwanda rwacu rwiza</t>
  </si>
  <si>
    <t xml:space="preserve">As a woman, it helped me make better decisions, and being confident and I can write my own story.  I had a friend who wanted me to steal money from home and I took a decision to leave thatGufasha abantu batishoboye ndetse no no kuzatsinda amasomo nezaKubera yuko resonate yamfashije kwitinyuka nkumukobwa ndetse no kwifatira umwanzuro no kumvako ndi umuyobozi kandi mugihe umuntu agiye  kunshuka ngomba kwifatira umwanzuroYego nko kubereka icyo bakora mugihe baba bigunze ndetse no kubereka uko bakiyubaka
</t>
  </si>
  <si>
    <t xml:space="preserve"> In our everyday life, we used to face challenges because of lack of knowledge of our values, but now we know because of ResonateNow we study with confidence, we always thought that mechanical and electricity and other things but now every girl here is confident and we want to thank for you that.Murirusange iyo ngiye mumahugurwa yababana nubumuga bama insimbura mubyizi murakozeYariyo gukurikiza amabwiriza mwabwa bityo biga tuma ngera kuntego yange intego nfite niyo kurangiza amashuri ndetse nkabona bruse ijyana muri universty ndetse nkabona akazikeza okay thanks for every thingKubera kobyadufashije nge byatumye nirinda inda zitateganijwe bituma nzamuka mu ishuri kubera ko tuvuga yego ahobiringombwa murakozeYego amahugurwa ya resonate  yaradufashijecyane  twaritinyutse murirusange  turabashimira murakoze ark muzagaruke mtwarabakunze💟💟💟💟💟💟</t>
  </si>
  <si>
    <t>Resonate helped me to know that I am aleader and I can try to do something which was impossible as the story of Inyoni yumununi we learnt previously and for now I am able to write about my life story.Resonate tought me about how I can get myself decision like when there is someone who wants to make sexual intercouse with me , when I dont want. And I can say  NO!I tried to show my club members how they can improve their public speaking. The Resonate showed me how I can do everything eventhough I'm a girl.My purpose was to get btn 45 -54 marks in o'level national exams.It's the bcz even for now I didn't get unwanted pregnance after the coming of resonate.Yeah, you can continiou to senstize youth girls to have a self confidance and when you came back you may bring for us something which motive us like sanitary materials😉😉😉. Thankxxxxx.</t>
  </si>
  <si>
    <t xml:space="preserve"> I now know to confidently say No and Yes when necessary I now make decisions where possibleYanyigishije nokubaho nigiticyubuzimaImiziNuko udatererana umukobwa cyangwa umugore ahubwo  iba ishakako umugore cyangwa umukobwa ahubwo uba ushakako batera imbereYego nuko mwafasha nabahungu haribenshi batazi kubugimbibwabo</t>
  </si>
  <si>
    <t xml:space="preserve"> I gained confidence, public speaking without shame and fear. I have hope to become a leaderkundanye numuhungu akanegeka gukora ibyonashaka  namuhakanira. nifatira ibyemezo mubijyanye nuburenganzira bwangekuzaba umuyobozinarafashijwe cyane mukwitinyuka nkigirira icyizere cyokuba umuyobozi .namenye ukonakirinda inda itateganijweyego  nkaburikwezi tugiye tubona ayamahugurwa byaba aribyiza</t>
  </si>
  <si>
    <t xml:space="preserve"> I gained confidence and I am not afraid anymoreNo one would ever tempt me and try to take me into things I do not want to do I started playing volleyball, and I am not paying. Resonate helped me realize my talentKnowing my talent is volleyballNtacyo nyishinja nakimwe byose byaranyuzeKuzana abakobwa batanga ubuhamya kandi bafite icyo bagezeho</t>
  </si>
  <si>
    <t xml:space="preserve"> As a woman, I learned to care about my life, including believing in myself, speaking in public without fear, knowing where I come from, and where I want to go. Thank you.Yego kuko jyewe ubwange niyemeze kwifatira icyemezo kubuzima bwange nkokwiha agaciro nkumwana wumukobwa ntiba mvuze yg nkarihangararaho kuburyo kk ntumva nijyiriye ikizereIgikorwa nko iyo mbonye amafaranga ndayizigama bikapfasha kandi nkashasha nabyeyi nkaba ngoboka nkiyo nayo bafiteYg kuzaba umukobwa wiyubaha nkamenya aho navuye naho nshaka kujyera kandi ndacyakomeje kubaka igiti cy  ubuzima bwangeYego yarapfashije cyane kumenya uko narinda ubuzima bwange hanjyize uwunshuka oya ikaba oya kuk ubuzima ntubwange nijye ungomba kubuyoboraYego ntuko mwakojyera amahungurwa akaba menshi natwe tukayashishikariza abandi turi mu kigero cyacu</t>
  </si>
  <si>
    <t xml:space="preserve"> I discovered who I am, and the tree of life and just having confidence in generalUrugero  nuko ubunsigaye mfata iyambere mu gukemura ibibazobitandukanye ndetsenshishikriza nabagenzibange mukwlgir,ira ikizeremuribyoseIbukorwankora  nugushishikarizakoburimuntuwesekoashoboye icyoamahygurwanfashijeyatumye nsobanukirwa igiti cy ubuzimaTwifuza ko mwagarukaKugaruka gufata abantu tukabahugura bagahugura abandi</t>
  </si>
  <si>
    <t>I started a business of elevating chickensTaking my own decisionsRearing chickens and being confidentI learned a lotIt would be good if these trainings happened every month</t>
  </si>
  <si>
    <t>Confidence and taking better decisionsAvoid temptationsI joined a savings group and I save some moneynukonabonyebipfitiyeakamarokutwitahomubuzimabwacubwaburimunsi</t>
  </si>
  <si>
    <t>There is a change because I am now confidentngewe icyemezo nifatiye nukwigirira icyizere kugirango ngire ejohezanashakaga kuzaba nziubwengemwishuri none intego yange nayigezehoIt helped me prevent unplanned pregnanciestwakifuza koreasonete yakongera ikatwigisha</t>
  </si>
  <si>
    <t>I became a leader on my own, I now take my decisions, and good ones. I avoid temptations , and as a young woman, I know my goals, thank you for giving us hope and confidence in life. We loved you.👍👍👍👍💕💕✌Yeah ubumfata imyanzuro myiza ikwiye  arikibazo narimfite iba ngombwako nifatira umwanzuro narawufashe kandi byaeze neza pee.Yari kwirinda nkumukobwa uz icyo ashaka nogutsindaIt helped me a lotCyane rwose nimikoerezaho muzagere nahandi mutaragera murakoze cyanee👍👍👍👍</t>
  </si>
  <si>
    <t>I am building a better tree of life and I am changing my wayskubasha kwigirira ikizere mubuzimayariyo kwiga nkatsinda nkagira amanota meza kand nabigezeh ni ukuvuga ko  yapfashije cnnuko amahugurwa yapfashije cyane knd nkabasha gusobanukirwa bihagijeyg icyo navuga kugiti cyange nuko yajya akorwa kenshi wenda bakayaduha kabiri mukwezi byadufasha cyane cyangwa mukaduha application twajya duhuriraho tugakora ikiganira kuburyo buhagije</t>
  </si>
  <si>
    <t>ConfidenceNangaibitekerezomunamazitandukanyeIt damn helped meAmahugurwamenshiatandukanye</t>
  </si>
  <si>
    <t xml:space="preserve"> Since I came across Resonate, I changed my behaviours and started being confident, and to make better decisionsNkubungubunshoborakwifatiraimyanzuromubuzimabwangeKwigiriraikizere,nokugiraicyonimarira,nokwifatiraimyanzuromubuzimabwange ,ndetse nokwitinyuka.Namenyeko
umuryangowaresonatewajekutugirainamandetsenokutwigishaukotwakirinda abadushka.Yes</t>
  </si>
  <si>
    <t>I gained confidenceI share my ideas in groups with confidenceGaining confidenceIt damn helped meSome refuse to come, because their parents say No, because you do not provide any transport reimbursement</t>
  </si>
  <si>
    <t xml:space="preserve"> My life changed because I gained the confidence to invest into things that will give me profits and I reduced wastage of things.  I invested money in agriculture and I am now able to afford school fees for my child in university (started a business)</t>
  </si>
  <si>
    <t>Umutesi Sandrine</t>
  </si>
  <si>
    <t>Mukampazimaka Germaine</t>
  </si>
  <si>
    <t>Mukagasisi Pascasie</t>
  </si>
  <si>
    <t>Mukambaraga Beatrice</t>
  </si>
  <si>
    <t>Nyirabizeyimana Claudine</t>
  </si>
  <si>
    <t>Mukagatera Grace</t>
  </si>
  <si>
    <t>Uwase Noella</t>
  </si>
  <si>
    <t>Uwiduhaye Aline</t>
  </si>
  <si>
    <t>Mukabaganimfura Claudine</t>
  </si>
  <si>
    <t>Mukabera Laurence</t>
  </si>
  <si>
    <t>Akimana Rosette</t>
  </si>
  <si>
    <t>SOS Children Group 1</t>
  </si>
  <si>
    <t>IRAGENA YVETTE FIDELE</t>
  </si>
  <si>
    <t>IRADUKUNDA UWASE SYLVIE</t>
  </si>
  <si>
    <t>LILIANE MpUNDU ISIMBI</t>
  </si>
  <si>
    <t>ESPERANCE UWASE</t>
  </si>
  <si>
    <t>JOSIANE MUREKATETE</t>
  </si>
  <si>
    <t>UMUTESI ZAINABU</t>
  </si>
  <si>
    <t>NISHIMWE IRUMVA EVELYNE</t>
  </si>
  <si>
    <t>MWIZERA ESTELLA</t>
  </si>
  <si>
    <t>FABIOLA IRADUKUNDA</t>
  </si>
  <si>
    <t>INGABIRE GISELE</t>
  </si>
  <si>
    <t>YVETTE UMUTESIWASE</t>
  </si>
  <si>
    <t>INGABIRE CHARLENE</t>
  </si>
  <si>
    <t>TWIZERIMANA</t>
  </si>
  <si>
    <t>TUYISHIMIRE OLIVE</t>
  </si>
  <si>
    <t xml:space="preserve"> Speaking with confidence in public and being proactive. I started savings in two savings groups</t>
  </si>
  <si>
    <t xml:space="preserve"> Being confident to speak in public, decision making and being able to express myself</t>
  </si>
  <si>
    <t>I got a job because of my confidence, now I work as a security person</t>
  </si>
  <si>
    <t>Byatumye mbasha kwisanzura kubagenzi banjye, kwitinyuka no kubijyanye na business. I am more confident within my circle of people, confident in my business too</t>
  </si>
  <si>
    <t>Kuba natinyuka nkatangira umushinga niyo yaba ari muto nkitinyuka. I got a leadership role as Umutwarasibo where I live - I am also confident to start something small of my own</t>
  </si>
  <si>
    <t>Igiti cyumuntu, nkubu abakobwa twizeko twagera ahantu ntawudufashije. The tree of life helped me realize that as women, we can achieve a lot without waiting on others. I learned to save by starting small</t>
  </si>
  <si>
    <t>We learned the power of proactive, being a leader and it helps in my everyday life</t>
  </si>
  <si>
    <t xml:space="preserve"> We gained confidence and knowledgeI never thought I would be able to make my own decisions I now have 3 chickens that I rear, I want to multiply them and then eventually sell them I wanted to have a growing business, and now I have chickens These trainings are really helpful. You gain confidence, feel like you have value and from there, you respect yourselfComing on the day when everyone is available (started a business)</t>
  </si>
  <si>
    <t xml:space="preserve"> I gained confidence, make better decisions and I help others. I joined a savings group and I am able to afford whatever I needI joined a savings group, I am capable and I have chickensStudying hard and increasing my marksIt helped me sooooooo much Visit more sectors, and other schools (started a business)</t>
  </si>
  <si>
    <t xml:space="preserve"> The first example is how I learned to make my decisions and how to avoid temptations from men, because they might result into an unplanned pregnancy. My parents could not afford school fees and I took a decision to ask for help from the school authoritiesUbworozi amahugurwa yamfashije kwizgama kandi nkuvako nange ndumuyobozi ahondihoseNuko arworugero numva amahugurwa yamfashijemo gusa numva nkeneye nibondibiganiro byanyu kuko byamfashije cyaneMushobora kidufasha kukirango nabandi bagenzi bacu babone ayamahugrwa numva meakwandika udutabo mukatwohereza kubindi bigo bitandukanye kugirango nabo babone ayomahugurwa kuko harinahomutaragera henshi cyane kandi nabobakeneye ayomahugurwa kandi ndabiz byabafash nabo (started a business)</t>
  </si>
  <si>
    <t xml:space="preserve"> I learned that women are capable , I changed, and my marks improved to a level I did not expectNumvisekoabkobwabashoboyemumanotacyangwanobindiMamàyandagijeinkondayororaigateraamaginkagurishaàmafaranganakuyemonyagurààmakayeKuzigantavamumwakandimontanjyamuwundiKuberaukonkagiyembibonaMukomezenimuzacikeinyenge (started a business)</t>
  </si>
  <si>
    <t xml:space="preserve"> The tree of life helped me know where my life is coming from and where it is goingNafasheicyemezocyokumenyaukoubuzimabwangebumezeNkoraubworozi ayamahugurwayapfashijekumeyaukonkoraubuzimabwigitikugirangomenyeahonavuyenahonagezeKorora amatungoNukourworugerorwapfashijekumeyaukoubuzimobuhagazeMukomezenimuzacikeintege (started a business)</t>
  </si>
  <si>
    <t>Uwizeyimana Elisa</t>
  </si>
  <si>
    <t>Iradukunda Delphine</t>
  </si>
  <si>
    <t>Uwizeyimana Pascaline</t>
  </si>
  <si>
    <t>MADO MUKARUKUNDO</t>
  </si>
  <si>
    <t>SOS Children Group 2</t>
  </si>
  <si>
    <t>SOS Children Group 3</t>
  </si>
  <si>
    <t>LOUISE MUKANZIZA</t>
  </si>
  <si>
    <t>UWAMAHORO VERENE</t>
  </si>
  <si>
    <t>CLAUDETTE TUMUREREHE</t>
  </si>
  <si>
    <t>DUSINGIZIMANA JOYEUSE</t>
  </si>
  <si>
    <t>Musabyimana Francoise</t>
  </si>
  <si>
    <t>Mukamukiza Claudine</t>
  </si>
  <si>
    <t>Mukamushumbusho Antoinette</t>
  </si>
  <si>
    <t>Uwingeneye Francine</t>
  </si>
  <si>
    <t>Nyirahabiyakare Vaste</t>
  </si>
  <si>
    <t>Mukanyemazi Olive</t>
  </si>
  <si>
    <t>Muhawenimana lyidie</t>
  </si>
  <si>
    <t>Umuhoza Sarah</t>
  </si>
  <si>
    <t>Tuyishime. Evariste</t>
  </si>
  <si>
    <t>Uwimbabazi Pascasie</t>
  </si>
  <si>
    <t>Mukangenzi Beatha</t>
  </si>
  <si>
    <t>Ingabire Jane</t>
  </si>
  <si>
    <t>Ishimwe. Devokasi</t>
  </si>
  <si>
    <t>Mvurirwenanije. liberee</t>
  </si>
  <si>
    <t>Uwamahoro Belise</t>
  </si>
  <si>
    <t>Uwanyirakuru Gerardine</t>
  </si>
  <si>
    <t>Mirerwaraba Solange</t>
  </si>
  <si>
    <t>Nyirangaboyerura Adeline</t>
  </si>
  <si>
    <t>Taking decisions and being proactive. I got a job to work in a restaurant</t>
  </si>
  <si>
    <t>encouraged us to know how to live with people well, helped me to know that I am a leader and to have the right attitude. I work at a business, I work for someone else, I sell in a bar ( got a job)</t>
  </si>
  <si>
    <t>Yamfashije gutinyuka ntangira gukora. Ndadodda, umudozi kugiti cyajye ntawe nkorera Amahugurwa yamfashije gutinyuka ntangira kwikorera. ( Started a business)</t>
  </si>
  <si>
    <t>Yamfashije kumenya ko umuntu yatangirana igishoro kiri hasi akazatera mbere. Ndadoda,ndumudozi wikorera , akazi mfite nubudozi .Amahugurwa yamfashije nukuba narahuguwe ko ngomba gukoresha ubumenyi navanye kwishuri kubukoresha hanze nkabubyaza umusaruro. ( started a business)</t>
  </si>
  <si>
    <t>yamfashije kumenya indangagaciro nifitemo no kungera kumenya ko ngomba kugira intego mu buzima. I learned my values, and I learned that I am a leader. Since then, I have joined extra saving groups, I no longer waste my money like before</t>
  </si>
  <si>
    <t>I was apart of one savings group, but now I joined other savings groups. I did haidressing, I do not have equipment yet but I do the best I can to save a little more so that I can buy equipment. you taught us well, we are really grateful. I have a goal to buy my own equipment towards the end of the year.</t>
  </si>
  <si>
    <t>yamfashije kumenya ko ndi umuyobozi. Ndadoda ,ndumudozi, ndidodera ku giti. cyajye ,( started a business) amahugurwa yamfashije gutinnyuka</t>
  </si>
  <si>
    <t>Byatumye mnya ko ndi umuyobozi bituma nitinyuka. ndumucuruzi , ndikorera byatumye mbasha kugra. kubyo numvaga ntagerraho. (started a business)</t>
  </si>
  <si>
    <t>yamfashij kumenya. uko nakiteza imbere. Ngurrisha ikawa, ndikorera ndetse ndi numuhinzi amahugurwa. yamfashije kumenya uburyo nabika amafaranga si( started a business) nsesagure</t>
  </si>
  <si>
    <t>I gained confidence and I started working for myself Ndasuka, ndikorera ,ndumusutsi yamfashije kumenya uko nakora nuko nabana nabantu nkabona. aba. Client ( started a business)</t>
  </si>
  <si>
    <t>Yagufashije umuntu yafungura business ikagenda. Nkora ibijyanye. na saloon, ndasuka ,nkorrera umunttu.Amahugurwa yaranttinyuye mbasha kuba nashaka akazi( got a job, proactive)</t>
  </si>
  <si>
    <t>Yamfashij kumenya uburyo nakitteza imbere. Ndacuruza,ndicururiza .Amahugurwa yamfashije kwitinyuka mbasha kuba natangira kwikorera ( started a business)</t>
  </si>
  <si>
    <t>yamfashije kumenya uko nabandi muri societe no kuba nakora nkiteza imbere. nkora murri saloon,ndasuka nkorera. umuntu. Yamfashij kumenya uko nakitwara muri societe no mukazi ( got a job)</t>
  </si>
  <si>
    <t>Yamfashije kumenya uko nakwitwara mukazi nuburyo nagasaba. Ndasuka,nkorera umuntu. Yamfashije kumenya uko nakwitwara mukazi. Got a job</t>
  </si>
  <si>
    <t xml:space="preserve"> It is really not like before at least I feel worthy of living and I have hope life will be possible.  Before this workshop, I did not think I would be successful, but now I joined a savings group, and I sell from what I grow, and use a savings group as a source of emergency when I don't have money.( started a business)</t>
  </si>
  <si>
    <t>Something has changed for me even though it's difficult because my husband doesn't help me, I will continue being patient and going on with my life, maybe he will change too. I'm really confident now, I bought a small field and started farming, and I even get some money to farm for others and save money. And my kids are going to school and always have basic school materials. ( started a business)</t>
  </si>
  <si>
    <t xml:space="preserve"> My life did not change that much but I at least feel like I learned something new and it allowed me to keep trying slowly and slowly.  I gained confidence and I started animal farming (Goats, rabbits) , it is coming up slowly and in our savings group, I was elected the president. ( started a business, leadership role)</t>
  </si>
  <si>
    <t>I  have accepted my situation and I feel like I have no problem except looking for money. I am doing alright.  I started by looking for opportunities to sow for people and they are actually available. I would leave the children with their grandmother and now I able to afford clothes and soap for them ( got a job, hoe for the future)</t>
  </si>
  <si>
    <t xml:space="preserve"> There was a very big change because now I am very confident and I now seek for ways to improve my wellbeing and I no longer have to beg.Because of confidence, I am trained in sewing and when I get money I will buy the machine I want and now I am working on a project to grow beans and soybeans. ( started a business)</t>
  </si>
  <si>
    <t>Mukagasaro Delphine ( Gasana Delphine)</t>
  </si>
  <si>
    <t xml:space="preserve"> My life changed because I also have value and I have hope to achieve something in life too.  Confidence came in slowly slowly and I started putting together money so that my business of selling fruits can continue to expand</t>
  </si>
  <si>
    <t xml:space="preserve"> My life changed because I have already accepted my situation and  I have come to terms with what happened to me and I am learning to see how life goes on without anything holding me back, I feel like I have to fight and win.  Even though I have a small child, but every moment I find, I go look for vegetables, I feel that I will continue to work hard and save money to expand the business (started a business)</t>
  </si>
  <si>
    <t>I have my small business, then I moved to the market, and the training taught me to be patient, calm and to be satisfied with what I do, and confidence is everything. I now manage well and avoid spending every penny that comes in.</t>
  </si>
  <si>
    <t xml:space="preserve">The training helped me to be confident, I expanded my business, I used to sell a few tomatoes but now because of the tree of life, I know how to go and find money in the province and help others. In my business, I know how to receive these clients and both, cleanliness in that and I know how to separate the capital, profit and money to support me day by day. Because I was confident and did not wait for these clients to find me where I am, I knew how to find solutions for myself and go to find these clients. We were brave, we allowed the banks to lend to us because we are together with others. </t>
  </si>
  <si>
    <t>The workshop helped me use the tree of life, I gained the courage to reflect on where I have come from, and where I want to go, and it changed my mindset, itis more abundant, my savings increased, used goalsetting and work on them have done a few trainings here and there but because of these trainings, I live with others more in harmony, and I am more proactive to face challenges faced in my business, and I find answers within myself just like the hummingbird
In my life I like to work, with the training I got I decided to sit down and commit to work, I don't give up even if things don't go well, I look for strength, I love my place where I work and strive for it.
After the training, I shared what I learned with others so that most people could understand it. We sit together and set goals; for example, when you talk to other members to learn how to save more because it will help us at some point and everyone has savings because we learn values ​​and taboos, we increase honesty among ourselves, it gives us a way to manage it better.</t>
  </si>
  <si>
    <t>The workshop helped me build myself up, I feel confident in myself, because of meeting and talking to others makes me feel better. I woke up from my loneliness, although the capital is low and life is expensive, but I continue and try to ask for help where I need it so that my business does not stop. Because I want to develop myself and have the goal of not going back to the road, I decided to stay together, He helped us not to go back to the road, we stay together and commit to helping each other and working together.</t>
  </si>
  <si>
    <t>In short, I was trained from street vendors, I was taught that I should not underestimate myself, in relationships with others I should be proactive and solve problems, I also walked the tree of life, I saw that I still have a chance for a better tomorrow and that is the purpose of life. I went back to the street to do business because I saw where I was not going, I walked on the tree of life and decided to live with others well, bear all the fruits, another big bird taught me to take the first either in solving problems or asking for help and I put on strength and decided to do my best. He helped me not to give up and continue working on goals even when things don't go well, I find strength, and I continue to dare to seek clients and be honest. We continue to work together, we share knowledge and we know that there is success ahead, and we took the initiative to be leaders and not just wait for our leaders, we solve problems. We were given support as capital , we put it in a group to make it productive instead of using it for useless things, whoever gave it to them worked with the intention of paying it and they liked it.</t>
  </si>
  <si>
    <t>helped me increase my knowledge, now it has improved my business, I learned what a leader is, I am proactive, and find solutions. Although the capital is still a problem, but I still have a goal, I went from the level of carrying one bag of potatoes to two and various other foods. In short, the business has expanded. I have learned to look at the future benefits that are not short-term because the road is narrow and it is not good, but now I am working and I am watching the progress at the door. profemme loan, it's a loan to a member and we paid it and finished it, it's been a month since we took others and you helped us because we know the value of the money and use it for what it was intended for and not waste it.</t>
  </si>
  <si>
    <t>helped me to know how to develop myself ( active), to look ahead, what little I have or even when I see improvement, to continue to improve. , because there is no salvation for them, there is no security for them. The workshop helped us reconcile, unite, there are no conflicts and find solutions as leaders. They gave us a loan, then we take 50 thousand, and we gave it to each member, and we share it among ourselves, now we have reached the second loan, and we are using it well without any problems because we know our goals and even value for money.</t>
  </si>
  <si>
    <t>helped me learn to be patient and proactive in the face of challenges, I learned that if you continue to be patient, things will go well, nothing else happens. His life changed, now I work in the market and even go to the bar in the evening and it's going well. After the training I was able to receive these clients well, and the substitutes they gave me I used to increase my money. and to put together and improve, Once we know what we want by setting a life goal, we know the value of money that makes us use it well,</t>
  </si>
  <si>
    <t>The training helped me to be confident, to know how to trade and live with people well in a large family. It helped me to know how to handle these clients. The life of working on the street is not safe, but now I am calm, I think clearly. When we returned it to the group account, we were able to use what we had prepared for it to have a health purpose.</t>
  </si>
  <si>
    <t>helped me to be good in groups, I learned to behave well and live with others, I was confident to take a loan and work and pay, my family's life changed. The market situation is that there are no clients, because I have a purpose in life, I am always looking for a new one for my clients. He helped us to put together, he built us, our behavior changed, after we learned how the manager behaves. well what we have.</t>
  </si>
  <si>
    <t>helped me to be confident to go to a financial institution that I can do, I would expand my business. He helped me to avoid losses, I went to know what I invested, I gained and my way of life, I worked diligently. Although our market is not enough clients live in but I valued what you did for us, because I have the goal of promoting myself forward because I look at the future benefits more than the immediate ones. They helped us to improve and trust each other which helps us to borrow without looking at the shares we have but looking at the common interests of our friends we live with day by day. we have reached the second stage of the loan for those who have completed the first payment.</t>
  </si>
  <si>
    <t>I was able to understand myself, know how to be proactive how to live with the people I live with in the extended family and much more. Before I knew that the little money I had would not do anything but now I know that a little thing will give you a lot, and it worked for me, I work and earn, I know how to see what is most needed and That's what I decided, I convinced myself. Agnes met us very well, I see how young she is, it gives me not to be discouraged, a small start will give me good things in the days to come. what we do</t>
  </si>
  <si>
    <t xml:space="preserve"> The workshop helped me develop myself, I have bought a sewing machine and I have a goal to buy fabrics and start sewing ( started a business)</t>
  </si>
  <si>
    <t>The workshop helped me to learn ways I can develop myself without needing too much .I work in comedy, I am a comedian before doing this profession I was afraid but after the training I became brave ( confidence)</t>
  </si>
  <si>
    <t>the training helped me before I felt that I don't start a business and I don't have enough money but after the training I changed that attitude and it helped me to be confident to know that I am a leader myself. I do maintenance, I am a regular employee, and I work for myself. The training helped me to dare to do business with little capital. ( started a business)</t>
  </si>
  <si>
    <t>Before I did not participate in the training, I did nothing, but after participating in the training, I started working. I sell vegetables and fruits, I am an entrepreneur, after the training I felt confident and started to work for myself. (started a business)</t>
  </si>
  <si>
    <t>I started my own business, a canteen . I became confident. ( started a business)</t>
  </si>
  <si>
    <t xml:space="preserve"> I am now able to make my own decisions and can confidently say No. Also in the second term, I increased my score with 12 points I started savings, I save 500 Rwf, before I used to save 200.I started selling chickens that I buy from money I save in a savings groupI wanted to rear chickens ( started a business)</t>
  </si>
  <si>
    <t>An example is how I now know who I am, and no one can send me into temptationsNow I search answers within myself During holidays, I helped my parents, and they paid me money I took in my savings group, I managed to buy chickens that produce eggs that I take to the marketurugero yariyogutsinda uyumwaka izindi sindazigeraho arikonzazigeraho niyonegoyange nindangiza amashuribyarapfashije cyane ubunamenye kwifata nokutishora mubusambanyi nyirimutoyego harabaribahari nabobakeneye guhugurwa ( started a business)</t>
  </si>
  <si>
    <t xml:space="preserve"> I really learned a lot from these workshops, and I now know how to behave, and learned the importance of savings I now can say No and say Yes when necessarynahix numvako kwizigamira aringombwa ubumfite inkoko 2kugira ejo heza hange kubindashyikirwa muri byoxnahungukiye byinshi knd byumumaro niyompamvu ayomahugurwa yazamutseicyonumv mwakongera nukutuganiza kenshi kuko biradufash ( started a business)</t>
  </si>
  <si>
    <t xml:space="preserve"> I learned my value as a woman, and it guides my choices I now know I can learn anything without worrying for the fact that I am a womanNashinze ikibina cyurubyiruko mumudugudu kandimbifashinjemo naresonate Nuko resonate yafashije kwitinyuka nkumva ko shoboye Icyo mwakora nibindi bigo mwabigeramo mukabigisha ( worthy)</t>
  </si>
  <si>
    <t>I learned to say No, preventing unplanned pregnancies, and they taught us savings, and I bought shoes and chickens. I used to think I was not smart, but now I raise my hand, and I used to think I would not be able to do some male jobs for example KwasaNi kwizigama amafaranga
Kugura inkwetoKusoza amashuriNuko nasobanukiwe uburyo bwokwirinda inda zi tateganyijwe
Nuko namenye kwizigama
Namenye kufata inyanzuro myizaYego ni ugukaza amahugurwa akaba meshi mubigo ( started a business)</t>
  </si>
  <si>
    <t xml:space="preserve"> The workshop helped me avoid temptations, and give advices to other teen mothers not to lose hope. Before the workshop, I used to be very sad and lonely because I lost my parent at a young age, but because of these workshops, I learned that I have to work hard and avoid any temptations, and teaching others Icyoyamfashije  yatumye Niga kwiteza imbere,nizigamira.Ntari Narihaye Intego yokwiguri inkweto nakunda,none nabigezeho mbifashijwemo nokwizigama.Kuberako amahugurwa nayungukiyemo byishi narinzi.Nugukomeza kubakangurira Kwirinda ibishuko. ( hope for the future)</t>
  </si>
  <si>
    <t xml:space="preserve"> I learned changes of my body and how to act within those changes. I also learned how I can start my business, where to get the right informationAsking SRHR information I rear my own chickens , because in the workshop, they taught us that we can start small and create opportunities for ourselvesYokwirinda inda zitateganyijweNukoharicyo namenye ukonakwitwara  mukwinda ihohoterwa rishingiye kugitsina ninda zitateguweNuko mwazagarukamukigishanabandi batabashije kuhagera (started a business)</t>
  </si>
  <si>
    <t>I started learning how to cut flowers and I get money to buy school materialsNaritinyutse menya kuvuga yego aho biringobwa ikindi kandi konakwiye gutegera amaboko abahungu cyangwa ababyeyi gusa nange haribyo nakiha kandi mbikuye mumaboko yange I gained confidence, I now know can say Nkora ibikorwa bijyanye no kwita kubusitani
Icyo amahurwa yamfashije nukwitinyuka ndetse no kigira intumbero yejo hazazaKugira umwuga namenya wabasha kuma amafarangaNuko byamfashije kwirinda abanshuka banshora mubusambanyi mbabwira ati ndacyari muto kandi haribyinshi nyeneye kugeraho mubuzima bwange rero oya nago byakundaNuko mwatwigishiriza hamwe tukagira ubumenyi bungana kuko twebwe harabo tubwira bakadusuzugura kuko baturuta cyangwa tungana mukwiye kubishiramo imbaraga ( started a business)</t>
  </si>
  <si>
    <t>An example is how I was very lonely but because of the conversations that happened, I learned that it is not the end , and now I am good.urugero sinabashaga kwifatira ibyemezo kuko najyaga gukora ikintu bikaba ngombwa ko mbanza kugisha ina,a kumuntu wariwe wese mbonye ntabanje gushishoza ark ubu byarahindutse narasobanukiwe I started selling vegetables. The workshop taught me that there is no such thing as a bad occupationnabijyezeho arko sindajyera kurwego mbishakaho.intego yange nashakaga gushishikariza urubyiruko murirusange kwirinda ibishuko biri hanzaha kd tukijyirana inama nabajyenzi bacu .Before the workshop, I had decided I will also start sleeping with men to get everything I want. But because of this workshop, I stopped thinking like that. Now, I am a very good child who is working hard to achieve everything on her ownyego kuko harabatarabyumva neza ko ihohoterwa ribaho ubwo rero kuruhare rwange ndumv a mwakomeza gukora ubukangurambag a no mumago abamo abakobwa vz ( started a business)</t>
  </si>
  <si>
    <t xml:space="preserve"> I learned that we should not be left behind because we are also capableNamenyekwizigamirakugirango
Ngire aho caka I have chickens. I rear chickensKuberako haribyo nanyuzemo bikome bitewe nibishuko byohanzeNtocyo ahubwo twayasubiramo kugirango abataribahari tuzababwire nabobakazahaboneka ( started a business)</t>
  </si>
  <si>
    <t>I learned how to be proactive despite being the weakest, and doing the best you can. I also learned how to be confident and behave like a leader without any problems, having values like courage. Something changed because I am more confident than before. Thank you.Kuberako mberenitinyaga umuntuyambwiragangokora icyinkagikora niyobyabaga ataribyiza kukosinabashagakwitinyuka ngompakane mfate ibyemezobimbereye ariko ubu byarahindutsebifatika Selling, I do not care that it is just for men, I also started believing that I am capable, and I now a sellerYariyokuzahura  amanota nkava mumwaka   umwenkajyamuwundi kandi ngenda nsindanezaIt helped me very muchNukomwakongera   amahugurwa byafasha na(started a business) bandi barimukigero nkicyacu</t>
  </si>
  <si>
    <t xml:space="preserve"> Helping others and being selfless, and doing it wholeheartedly Gukora igikorwacyurukundo utabanjekugisha inama wenda wacakumuntuashonje haricyoufite ukamuha ikindinakuyemo nokwigirira ikizeresintitinye kukonshoboyenibwirakoibibitangenewe kobigeweabahungugusanyumayaahugurwanajekumenyakoikikinikikitageneweumuntumwe konabakobwadushoboyetinyukaurashoboyeKwihesha agaciro aho urihose kuko utakihaye ntawakaguhaNukuberako byamfashije cyane mubuzimabwanjye bwaburimunsi kurinjyerero numva resonate ari ingenziKuganiriza kubijyanye nubuzima bwimyororokerekugirsngo barushehokwisobanukirwaneza Murakoze. Confident</t>
  </si>
  <si>
    <t>I now know to make money in my business of selling tomatoes ( started a business). I learned that from a story one shared of how they cultivate vegetablesI sell tomatoes on holidaysNashakaga Kugira icyo nigezaho nkabasha kwigurira ibintu. Natangiye gucuruza muri vacanceNukubera umukobwa wabyaye atubwira uko yabyariye iwabo atubwira ukuntu tugomba kwirinda. Ikindi, umukobwa yatuganirije ukuntu yabuze akazi arangije kwiga ahubwo ajya gucuruza imboga numva biramfashije.Batwakiriye nabi no gutaha numva bari kuvuga ngo Ivo mbimenya sinari kuza kubura imirire itameze neza, kandi baduhaye agahunga kadahiye ntanamazi baduhaye ninsimburamubyizi. Ariko abatuganirje bakoze neza</t>
  </si>
  <si>
    <t>I learned about my values as a young womanNinge umenya uko  ubuzima bwange ngomba kugengaAmahugurwa yanyigishije ukonakwitinyuka maze ntangira korora inkoko.Ni ukuberako byamfashije cyane.Yego kuberako amahugurwa menshi azabafasha kwitinyuka  mazenabo bakirira ikizere cyubuzima. started a business</t>
  </si>
  <si>
    <t>I gained confidence as a young womanNabashijekwitinyukambashakutinyukandumukobwaushoboyeNabashijekorora amatungomagufi byaraninyuyKuzababa techNihnabshj kuger started a business</t>
  </si>
  <si>
    <t>I started savingsI started savingsKwigurira  itungoryo  murugoKwizigamiraByandinze  kuba  nahura  nicyibazo  gikomeye   nkakicyemuriraKwigisha  abantu  kumvako  ubwaba  bakwicyemurira  ikibazo  cyangwa  bakegera  abandi  babisobanukiwe started a business</t>
  </si>
  <si>
    <t>I gained confidence at school and at homeKubahobmereyehoabandi nokwihagiraimrimoNdi umworozi two kutitakarizaikizereGutsinda gufashaabandiI learned to say NoNukomwafasha abakobwabatiga mukabaha inyigishostarted a business</t>
  </si>
  <si>
    <t>We learned about SRHR informationUgombakwitimyuramibaharikibazokikubayehoKoraraihenekugiraumuntuinamaGutsindaamasomoIt helped me Yegomuzagarukemuhugureurubyurukokukobigiriraurubyirukoakamarokukobitumabadakoraimibonanaidakingiye confidence</t>
  </si>
  <si>
    <t>I passed my classesNigiriyeicyizerekoburikintucyoseukeneyeataringobwakwaubufashaNkogufashamamagucuruzaYariiyogustindaBecause it helped meKubagirainamakeshicyanebishokakugirangobirindeindazitateganyijwe confidence</t>
  </si>
  <si>
    <t>I did not think I could openly talk to may friends and asking them for adviceicyemezo cyo kwiyakira mubuzima ubwo ari bwo bwose Noroye inkoko ariko narayigurishije nari nkeneye utuntu kwiga nkarangiza nta kindangaza They are usefulAmahugurwa akiyongera kugirango abantu bose bige  started a business</t>
  </si>
  <si>
    <t>helped me realize that I am a leader and I benefited from the benefits of sharing testimonies. I work in sewing, I am a seamstress. It helped me to know that I can start with little capital and grow without fear started a business</t>
  </si>
  <si>
    <t>I moved from one place to another</t>
  </si>
  <si>
    <t xml:space="preserve">Haguruka Rutunga( Six-Months - 12), NWC Remera, Kimironko and Gisozi (Six-Months - 64), Kirehe students ( Six-Months -42), SOS Children Village (Six-Months - 40) </t>
  </si>
  <si>
    <t>I have a goal andI will achieve it in the next two years</t>
  </si>
  <si>
    <t xml:space="preserve">Imyitwarire myiza murugo. Akora muri hôtel. Resonate yatumye mbona akazi keza kubera imyitwarire. Good behavior at home. I work in a hotel. Resonate got a job because of my attitude. </t>
  </si>
  <si>
    <t xml:space="preserve">I learned a lot about the tree of life </t>
  </si>
  <si>
    <t xml:space="preserve">I learned goalsetting and it is really helpful in my life as I set goals now </t>
  </si>
  <si>
    <t>Living in harmony with others</t>
  </si>
  <si>
    <t xml:space="preserve"> You have taught us a lot that was beneficial to us </t>
  </si>
  <si>
    <t>I am doing better in my business</t>
  </si>
  <si>
    <t>The workshop helped me learn that I am a leader too. I now know my value</t>
  </si>
  <si>
    <t xml:space="preserve">training helped me to expand, dare and face every problem as a manager, after meeting others and sharing our stories that took me out of isolation, my life changed day by day. Coming to the training, my life seemed to be over, but at the end of the training, I gained a lot of knowledge, including how to make a business plan, and how to do it. I concluded, the way I sold and the way I earned, this helped me to expand in my business. After the study of the tree of life, I looked at where I am, where I came from and where I want to reach, I have a goal. together in saving and it took us from one level to another. After the training, all the members had a higher awareness of everything hat would improve us and take loans and get paid well </t>
  </si>
  <si>
    <t xml:space="preserve"> I started a business of selling avocadoes after the workshop because my mindset had changed around money. I used to think I could just use the money anyway, because it is not much you know. But I am now part of a savings group and save 1100 Rwf per week.The workshop taught me that everything is possible. I used to be very lonely but now it is not the case anymore. I have goals and I am more confident</t>
  </si>
  <si>
    <t>Uwambajimana Rosine</t>
  </si>
  <si>
    <t>Kagaju Alice</t>
  </si>
  <si>
    <t xml:space="preserve">The workshop taught me being confident in myself, and to use that to find ways to compete on the job market. I got a job in a hair saloon. Before I was very scared and shy that it was really hard for me to be around others - but the workshop changed that. I work in a hair saloon ( Ndasuka, Noza mu mutwe) every single saloon task I can do it and I got this job in May 2023.. </t>
  </si>
  <si>
    <t>I learned that I am a leader</t>
  </si>
  <si>
    <t>Making decisio</t>
  </si>
  <si>
    <t>Umuhoza Assumpta</t>
  </si>
  <si>
    <t>Uzayisenga Marceline</t>
  </si>
  <si>
    <t>The workshop changed my mindset and I have a goal to not be left behind and I joined more savings group and I am working harder than ever</t>
  </si>
  <si>
    <t>Proactivity (Denominator: )</t>
  </si>
  <si>
    <t>now I was able to dare, now I can borrow and add capital, I used the tree of life and I realized that there was a place I came from, I arrived, and even where I want to go. Now I have started university as one of my dreams, if there is a conflict I will be the leader and I will be the first to solve the conflict and before I felt that others are concerned but now it has changed. my studies and my business will continue to work even if I am not there because I have those who leave me and pay me so that I can get the materials and other things that I need to study well. At first I was brave, it made me not accept failure but I ask for money to increase the capital, and you taught us to be patient because the goal of what I want to achieve, if I do not find buyers I wait and hear that tomorrow will change. As a group leader, my group is doing well, we go to meetings, we save, and we don't wait for others to help us, we have a goal that says what do you have to help him get what he wants to add and it works. we save, we use what comes from us and thus it helps us to continue to progress. Leadership role</t>
  </si>
  <si>
    <t>Enumerator name</t>
  </si>
  <si>
    <t>Community Programs - Kirehe and Gakenke</t>
  </si>
  <si>
    <t>366</t>
  </si>
  <si>
    <t>244</t>
  </si>
  <si>
    <t>249</t>
  </si>
  <si>
    <t>250</t>
  </si>
  <si>
    <t>251</t>
  </si>
  <si>
    <t>254</t>
  </si>
  <si>
    <t>255</t>
  </si>
  <si>
    <t>264</t>
  </si>
  <si>
    <t>265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</si>
</sst>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65">
    <font>
      <sz val="11"/>
      <color theme="1"/>
      <name val="Arial"/>
    </font>
    <font>
      <sz val="11"/>
      <color theme="1"/>
      <name val="Calibri"/>
      <family val="2"/>
      <scheme val="minor"/>
    </font>
    <font>
      <sz val="11"/>
      <color rgb="FFFF0000"/>
      <name val="Calibri"/>
      <family val="2"/>
    </font>
    <font>
      <b/>
      <sz val="11"/>
      <color theme="1"/>
      <name val="Calibri"/>
      <family val="2"/>
    </font>
    <font>
      <sz val="11"/>
      <color theme="1"/>
      <name val="Calibri"/>
      <family val="2"/>
    </font>
    <font>
      <sz val="20"/>
      <color rgb="FFFF0000"/>
      <name val="Calibri"/>
      <family val="2"/>
    </font>
    <font>
      <b/>
      <sz val="20"/>
      <color theme="1"/>
      <name val="Arial"/>
      <family val="2"/>
    </font>
    <font>
      <sz val="24"/>
      <color theme="1"/>
      <name val="Calibri"/>
      <family val="2"/>
    </font>
    <font>
      <sz val="11"/>
      <color theme="1"/>
      <name val="Calibri"/>
      <family val="2"/>
    </font>
    <font>
      <b/>
      <u/>
      <sz val="11"/>
      <color theme="1"/>
      <name val="Arial"/>
      <family val="2"/>
    </font>
    <font>
      <sz val="11"/>
      <color rgb="FF222222"/>
      <name val="Helvetica Neue"/>
      <family val="2"/>
    </font>
    <font>
      <sz val="11"/>
      <color theme="1"/>
      <name val="Arial"/>
      <family val="2"/>
    </font>
    <font>
      <sz val="11"/>
      <name val="Arial"/>
      <family val="2"/>
    </font>
    <font>
      <sz val="11"/>
      <color rgb="FFFFFF00"/>
      <name val="Arial"/>
      <family val="2"/>
    </font>
    <font>
      <b/>
      <sz val="11"/>
      <color theme="1"/>
      <name val="Arial"/>
      <family val="2"/>
    </font>
    <font>
      <sz val="11"/>
      <color rgb="FF000000"/>
      <name val="Calibri"/>
      <family val="2"/>
    </font>
    <font>
      <sz val="12"/>
      <color theme="1"/>
      <name val="Arial Narrow"/>
      <family val="2"/>
    </font>
    <font>
      <sz val="11"/>
      <name val="Calibri"/>
      <family val="2"/>
    </font>
    <font>
      <sz val="20"/>
      <color theme="1"/>
      <name val="Calibri"/>
      <family val="2"/>
    </font>
    <font>
      <i/>
      <sz val="11"/>
      <color theme="1"/>
      <name val="Calibri"/>
      <family val="2"/>
    </font>
    <font>
      <b/>
      <sz val="11"/>
      <color rgb="FFFF6600"/>
      <name val="Calibri"/>
      <family val="2"/>
    </font>
    <font>
      <sz val="11"/>
      <color rgb="FFFF6600"/>
      <name val="Calibri"/>
      <family val="2"/>
    </font>
    <font>
      <sz val="11"/>
      <color rgb="FFFF6600"/>
      <name val="Arial"/>
      <family val="2"/>
    </font>
    <font>
      <u/>
      <sz val="11"/>
      <color theme="10"/>
      <name val="Arial"/>
      <family val="2"/>
    </font>
    <font>
      <u/>
      <sz val="11"/>
      <color theme="11"/>
      <name val="Arial"/>
      <family val="2"/>
    </font>
    <font>
      <b/>
      <sz val="11"/>
      <color rgb="FFFF0000"/>
      <name val="Calibri"/>
      <family val="2"/>
    </font>
    <font>
      <sz val="11"/>
      <color theme="1"/>
      <name val="Calibri"/>
      <family val="2"/>
      <scheme val="minor"/>
    </font>
    <font>
      <b/>
      <sz val="12"/>
      <color indexed="8"/>
      <name val="Calibri"/>
      <family val="2"/>
    </font>
    <font>
      <b/>
      <sz val="11"/>
      <color theme="1"/>
      <name val="Calibri"/>
      <family val="2"/>
      <scheme val="minor"/>
    </font>
    <font>
      <i/>
      <sz val="11"/>
      <color theme="1"/>
      <name val="Calibri"/>
      <family val="2"/>
      <scheme val="minor"/>
    </font>
    <font>
      <sz val="11"/>
      <color indexed="8"/>
      <name val="Calibri"/>
      <family val="2"/>
      <scheme val="minor"/>
    </font>
    <font>
      <sz val="11"/>
      <color rgb="FFFF0000"/>
      <name val="Calibri"/>
      <family val="2"/>
      <scheme val="minor"/>
    </font>
    <font>
      <b/>
      <sz val="11"/>
      <color indexed="8"/>
      <name val="Calibri"/>
      <family val="2"/>
      <scheme val="minor"/>
    </font>
    <font>
      <sz val="10"/>
      <name val="Verdana"/>
      <family val="2"/>
    </font>
    <font>
      <sz val="11"/>
      <color rgb="FFFF0000"/>
      <name val="Arial"/>
      <family val="2"/>
    </font>
    <font>
      <b/>
      <sz val="16"/>
      <color theme="1"/>
      <name val="Calibri"/>
      <family val="2"/>
    </font>
    <font>
      <b/>
      <sz val="16"/>
      <color theme="1"/>
      <name val="Arial"/>
      <family val="2"/>
    </font>
    <font>
      <b/>
      <sz val="12"/>
      <color theme="1"/>
      <name val="Calibri"/>
      <family val="2"/>
    </font>
    <font>
      <b/>
      <sz val="12"/>
      <color theme="1"/>
      <name val="Arial"/>
      <family val="2"/>
    </font>
    <font>
      <b/>
      <sz val="11"/>
      <color rgb="FF000000"/>
      <name val="Calibri"/>
      <family val="2"/>
    </font>
    <font>
      <b/>
      <sz val="11"/>
      <name val="Arial"/>
      <family val="2"/>
    </font>
    <font>
      <b/>
      <sz val="11"/>
      <color indexed="206"/>
      <name val="Arial"/>
      <family val="2"/>
    </font>
    <font>
      <sz val="12"/>
      <color theme="1"/>
      <name val="Times New Roman"/>
      <family val="1"/>
    </font>
    <font>
      <sz val="12"/>
      <name val="Times New Roman"/>
      <family val="1"/>
    </font>
    <font>
      <sz val="12"/>
      <color rgb="FF000000"/>
      <name val="Times New Roman"/>
      <family val="1"/>
    </font>
    <font>
      <b/>
      <sz val="12"/>
      <color theme="1"/>
      <name val="Serifa Std 45 Light"/>
      <family val="1"/>
    </font>
    <font>
      <b/>
      <sz val="12"/>
      <color rgb="FFFF6600"/>
      <name val="Serifa Std 45 Light"/>
      <family val="1"/>
    </font>
    <font>
      <b/>
      <sz val="12"/>
      <color rgb="FFFF0000"/>
      <name val="Serifa Std 45 Light"/>
      <family val="1"/>
    </font>
    <font>
      <sz val="12"/>
      <color theme="1"/>
      <name val="Serifa Std 45 Light"/>
      <family val="1"/>
    </font>
    <font>
      <b/>
      <sz val="18"/>
      <color theme="1"/>
      <name val="Arial"/>
      <family val="2"/>
    </font>
    <font>
      <b/>
      <i/>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s>
  <fills count="57">
    <fill>
      <patternFill patternType="none"/>
    </fill>
    <fill>
      <patternFill patternType="gray125"/>
    </fill>
    <fill>
      <patternFill patternType="solid">
        <fgColor theme="0"/>
        <bgColor theme="0"/>
      </patternFill>
    </fill>
    <fill>
      <patternFill patternType="solid">
        <fgColor rgb="FFF2F2F2"/>
        <bgColor rgb="FFF2F2F2"/>
      </patternFill>
    </fill>
    <fill>
      <patternFill patternType="solid">
        <fgColor rgb="FFFFFF00"/>
        <bgColor rgb="FFFFFF00"/>
      </patternFill>
    </fill>
    <fill>
      <patternFill patternType="solid">
        <fgColor rgb="FFFFC000"/>
        <bgColor rgb="FFFFC000"/>
      </patternFill>
    </fill>
    <fill>
      <patternFill patternType="solid">
        <fgColor rgb="FFC00000"/>
        <bgColor rgb="FFC00000"/>
      </patternFill>
    </fill>
    <fill>
      <patternFill patternType="solid">
        <fgColor rgb="FFE36C09"/>
        <bgColor rgb="FFE36C09"/>
      </patternFill>
    </fill>
    <fill>
      <patternFill patternType="solid">
        <fgColor rgb="FFDDD9C3"/>
        <bgColor rgb="FFDDD9C3"/>
      </patternFill>
    </fill>
    <fill>
      <patternFill patternType="solid">
        <fgColor rgb="FFFFFF00"/>
        <bgColor indexed="64"/>
      </patternFill>
    </fill>
    <fill>
      <patternFill patternType="solid">
        <fgColor rgb="FFFFFF00"/>
        <bgColor theme="0"/>
      </patternFill>
    </fill>
    <fill>
      <patternFill patternType="solid">
        <fgColor theme="0"/>
        <bgColor indexed="64"/>
      </patternFill>
    </fill>
    <fill>
      <patternFill patternType="solid">
        <fgColor theme="0"/>
        <bgColor rgb="FFF2F2F2"/>
      </patternFill>
    </fill>
    <fill>
      <patternFill patternType="solid">
        <fgColor theme="2" tint="-4.9989318521683403E-2"/>
        <bgColor indexed="64"/>
      </patternFill>
    </fill>
    <fill>
      <patternFill patternType="solid">
        <fgColor theme="2" tint="-4.9989318521683403E-2"/>
        <bgColor rgb="FFF2F2F2"/>
      </patternFill>
    </fill>
    <fill>
      <patternFill patternType="solid">
        <fgColor theme="9"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9.9978637043366805E-2"/>
        <bgColor rgb="FFFFFFFF"/>
      </patternFill>
    </fill>
    <fill>
      <patternFill patternType="solid">
        <fgColor theme="0"/>
        <bgColor rgb="FFFFFFFF"/>
      </patternFill>
    </fill>
    <fill>
      <patternFill patternType="solid">
        <fgColor theme="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5">
    <border>
      <left/>
      <right/>
      <top/>
      <bottom/>
      <diagonal/>
    </border>
    <border>
      <left/>
      <right/>
      <top/>
      <bottom/>
      <diagonal/>
    </border>
    <border>
      <left style="medium">
        <color rgb="FF000000"/>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auto="1"/>
      </right>
      <top style="medium">
        <color rgb="FF000000"/>
      </top>
      <bottom style="medium">
        <color auto="1"/>
      </bottom>
      <diagonal/>
    </border>
    <border>
      <left style="medium">
        <color auto="1"/>
      </left>
      <right/>
      <top style="medium">
        <color rgb="FF000000"/>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s>
  <cellStyleXfs count="282">
    <xf numFmtId="0" fontId="0" fillId="0" borderId="0"/>
    <xf numFmtId="9" fontId="11"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6" fillId="0" borderId="5"/>
    <xf numFmtId="164" fontId="26" fillId="0" borderId="5" applyFont="0" applyFill="0" applyBorder="0" applyAlignment="0" applyProtection="0"/>
    <xf numFmtId="9" fontId="33" fillId="0" borderId="5" applyFont="0" applyFill="0" applyBorder="0" applyAlignment="0" applyProtection="0"/>
    <xf numFmtId="0" fontId="33" fillId="0" borderId="5"/>
    <xf numFmtId="0" fontId="11" fillId="0" borderId="5"/>
    <xf numFmtId="9" fontId="11" fillId="0" borderId="5"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52" fillId="0" borderId="45" applyNumberFormat="0" applyFill="0" applyAlignment="0" applyProtection="0"/>
    <xf numFmtId="0" fontId="53" fillId="0" borderId="46" applyNumberFormat="0" applyFill="0" applyAlignment="0" applyProtection="0"/>
    <xf numFmtId="0" fontId="54" fillId="0" borderId="47" applyNumberFormat="0" applyFill="0" applyAlignment="0" applyProtection="0"/>
    <xf numFmtId="0" fontId="58" fillId="29" borderId="48" applyNumberFormat="0" applyAlignment="0" applyProtection="0"/>
    <xf numFmtId="0" fontId="59" fillId="30" borderId="49" applyNumberFormat="0" applyAlignment="0" applyProtection="0"/>
    <xf numFmtId="0" fontId="60" fillId="30" borderId="48" applyNumberFormat="0" applyAlignment="0" applyProtection="0"/>
    <xf numFmtId="0" fontId="61" fillId="0" borderId="50" applyNumberFormat="0" applyFill="0" applyAlignment="0" applyProtection="0"/>
    <xf numFmtId="0" fontId="62" fillId="31" borderId="51" applyNumberFormat="0" applyAlignment="0" applyProtection="0"/>
    <xf numFmtId="0" fontId="28" fillId="0" borderId="53" applyNumberFormat="0" applyFill="0" applyAlignment="0" applyProtection="0"/>
    <xf numFmtId="0" fontId="1" fillId="0" borderId="5"/>
    <xf numFmtId="0" fontId="51" fillId="0" borderId="5" applyNumberFormat="0" applyFill="0" applyBorder="0" applyAlignment="0" applyProtection="0"/>
    <xf numFmtId="0" fontId="54" fillId="0" borderId="5" applyNumberFormat="0" applyFill="0" applyBorder="0" applyAlignment="0" applyProtection="0"/>
    <xf numFmtId="0" fontId="55" fillId="26" borderId="5" applyNumberFormat="0" applyBorder="0" applyAlignment="0" applyProtection="0"/>
    <xf numFmtId="0" fontId="56" fillId="27" borderId="5" applyNumberFormat="0" applyBorder="0" applyAlignment="0" applyProtection="0"/>
    <xf numFmtId="0" fontId="57" fillId="28" borderId="5" applyNumberFormat="0" applyBorder="0" applyAlignment="0" applyProtection="0"/>
    <xf numFmtId="0" fontId="31" fillId="0" borderId="5" applyNumberFormat="0" applyFill="0" applyBorder="0" applyAlignment="0" applyProtection="0"/>
    <xf numFmtId="0" fontId="1" fillId="32" borderId="52" applyNumberFormat="0" applyFont="0" applyAlignment="0" applyProtection="0"/>
    <xf numFmtId="0" fontId="63" fillId="0" borderId="5" applyNumberFormat="0" applyFill="0" applyBorder="0" applyAlignment="0" applyProtection="0"/>
    <xf numFmtId="0" fontId="64" fillId="33" borderId="5" applyNumberFormat="0" applyBorder="0" applyAlignment="0" applyProtection="0"/>
    <xf numFmtId="0" fontId="1" fillId="34" borderId="5" applyNumberFormat="0" applyBorder="0" applyAlignment="0" applyProtection="0"/>
    <xf numFmtId="0" fontId="1" fillId="35" borderId="5" applyNumberFormat="0" applyBorder="0" applyAlignment="0" applyProtection="0"/>
    <xf numFmtId="0" fontId="1" fillId="36" borderId="5" applyNumberFormat="0" applyBorder="0" applyAlignment="0" applyProtection="0"/>
    <xf numFmtId="0" fontId="64" fillId="37" borderId="5" applyNumberFormat="0" applyBorder="0" applyAlignment="0" applyProtection="0"/>
    <xf numFmtId="0" fontId="1" fillId="38" borderId="5" applyNumberFormat="0" applyBorder="0" applyAlignment="0" applyProtection="0"/>
    <xf numFmtId="0" fontId="1" fillId="39" borderId="5" applyNumberFormat="0" applyBorder="0" applyAlignment="0" applyProtection="0"/>
    <xf numFmtId="0" fontId="1" fillId="40" borderId="5" applyNumberFormat="0" applyBorder="0" applyAlignment="0" applyProtection="0"/>
    <xf numFmtId="0" fontId="64" fillId="41" borderId="5" applyNumberFormat="0" applyBorder="0" applyAlignment="0" applyProtection="0"/>
    <xf numFmtId="0" fontId="1" fillId="42" borderId="5" applyNumberFormat="0" applyBorder="0" applyAlignment="0" applyProtection="0"/>
    <xf numFmtId="0" fontId="1" fillId="43" borderId="5" applyNumberFormat="0" applyBorder="0" applyAlignment="0" applyProtection="0"/>
    <xf numFmtId="0" fontId="1" fillId="44" borderId="5" applyNumberFormat="0" applyBorder="0" applyAlignment="0" applyProtection="0"/>
    <xf numFmtId="0" fontId="64" fillId="45" borderId="5" applyNumberFormat="0" applyBorder="0" applyAlignment="0" applyProtection="0"/>
    <xf numFmtId="0" fontId="1" fillId="46" borderId="5" applyNumberFormat="0" applyBorder="0" applyAlignment="0" applyProtection="0"/>
    <xf numFmtId="0" fontId="1" fillId="47" borderId="5" applyNumberFormat="0" applyBorder="0" applyAlignment="0" applyProtection="0"/>
    <xf numFmtId="0" fontId="1" fillId="48" borderId="5" applyNumberFormat="0" applyBorder="0" applyAlignment="0" applyProtection="0"/>
    <xf numFmtId="0" fontId="64" fillId="49" borderId="5" applyNumberFormat="0" applyBorder="0" applyAlignment="0" applyProtection="0"/>
    <xf numFmtId="0" fontId="1" fillId="50" borderId="5" applyNumberFormat="0" applyBorder="0" applyAlignment="0" applyProtection="0"/>
    <xf numFmtId="0" fontId="1" fillId="51" borderId="5" applyNumberFormat="0" applyBorder="0" applyAlignment="0" applyProtection="0"/>
    <xf numFmtId="0" fontId="1" fillId="52" borderId="5" applyNumberFormat="0" applyBorder="0" applyAlignment="0" applyProtection="0"/>
    <xf numFmtId="0" fontId="64" fillId="53" borderId="5" applyNumberFormat="0" applyBorder="0" applyAlignment="0" applyProtection="0"/>
    <xf numFmtId="0" fontId="1" fillId="54" borderId="5" applyNumberFormat="0" applyBorder="0" applyAlignment="0" applyProtection="0"/>
    <xf numFmtId="0" fontId="1" fillId="55" borderId="5" applyNumberFormat="0" applyBorder="0" applyAlignment="0" applyProtection="0"/>
    <xf numFmtId="0" fontId="1" fillId="56" borderId="5" applyNumberFormat="0" applyBorder="0" applyAlignment="0" applyProtection="0"/>
  </cellStyleXfs>
  <cellXfs count="521">
    <xf numFmtId="0" fontId="0" fillId="0" borderId="0" xfId="0"/>
    <xf numFmtId="0" fontId="2" fillId="0" borderId="0" xfId="0" applyFont="1" applyAlignment="1">
      <alignment horizontal="center"/>
    </xf>
    <xf numFmtId="0" fontId="3" fillId="0" borderId="0" xfId="0" applyFont="1"/>
    <xf numFmtId="0" fontId="4" fillId="0" borderId="0" xfId="0" applyFont="1"/>
    <xf numFmtId="0" fontId="6" fillId="0" borderId="0" xfId="0" applyFont="1" applyAlignment="1">
      <alignment horizontal="center" wrapText="1"/>
    </xf>
    <xf numFmtId="0" fontId="8" fillId="0" borderId="0" xfId="0" applyFont="1" applyAlignment="1">
      <alignment horizontal="center" wrapText="1"/>
    </xf>
    <xf numFmtId="0" fontId="8" fillId="0" borderId="0" xfId="0" applyFont="1"/>
    <xf numFmtId="0" fontId="9" fillId="0" borderId="0" xfId="0" applyFont="1" applyAlignment="1">
      <alignment horizontal="center" wrapText="1"/>
    </xf>
    <xf numFmtId="0" fontId="8" fillId="0" borderId="0" xfId="0" applyFont="1" applyAlignment="1">
      <alignment vertical="top"/>
    </xf>
    <xf numFmtId="0" fontId="0" fillId="0" borderId="0" xfId="0" applyAlignment="1">
      <alignment horizontal="left" vertical="top"/>
    </xf>
    <xf numFmtId="0" fontId="0" fillId="0" borderId="0" xfId="0" applyAlignment="1">
      <alignment wrapText="1"/>
    </xf>
    <xf numFmtId="0" fontId="8" fillId="0" borderId="0" xfId="0" applyFont="1" applyAlignment="1">
      <alignment wrapText="1"/>
    </xf>
    <xf numFmtId="0" fontId="10" fillId="0" borderId="0" xfId="0" applyFont="1" applyAlignment="1">
      <alignment horizontal="left" vertical="center"/>
    </xf>
    <xf numFmtId="0" fontId="0" fillId="0" borderId="0" xfId="0" applyAlignment="1">
      <alignment horizontal="center"/>
    </xf>
    <xf numFmtId="0" fontId="0" fillId="0" borderId="0" xfId="0" applyAlignment="1">
      <alignment horizontal="right"/>
    </xf>
    <xf numFmtId="0" fontId="8" fillId="0" borderId="0" xfId="0" applyFont="1" applyAlignment="1">
      <alignment horizontal="right"/>
    </xf>
    <xf numFmtId="0" fontId="10" fillId="0" borderId="0" xfId="0" applyFont="1" applyAlignment="1">
      <alignment vertical="center"/>
    </xf>
    <xf numFmtId="0" fontId="0" fillId="0" borderId="0" xfId="0" applyAlignment="1">
      <alignment vertical="center" wrapText="1"/>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3" fillId="2" borderId="1" xfId="0" applyFont="1" applyFill="1" applyBorder="1" applyAlignment="1">
      <alignment horizontal="center" vertical="center"/>
    </xf>
    <xf numFmtId="0" fontId="8" fillId="0" borderId="10" xfId="0" applyFont="1" applyBorder="1" applyAlignment="1">
      <alignment horizontal="center" vertical="center"/>
    </xf>
    <xf numFmtId="0" fontId="8" fillId="2" borderId="1" xfId="0" applyFont="1" applyFill="1" applyBorder="1"/>
    <xf numFmtId="0" fontId="18" fillId="0" borderId="0" xfId="0" applyFont="1"/>
    <xf numFmtId="0" fontId="8" fillId="0" borderId="0" xfId="0" applyFont="1" applyAlignment="1">
      <alignment vertical="center" wrapText="1"/>
    </xf>
    <xf numFmtId="0" fontId="19" fillId="0" borderId="0" xfId="0" applyFont="1"/>
    <xf numFmtId="0" fontId="3" fillId="0" borderId="0" xfId="0" applyFont="1" applyAlignment="1">
      <alignment wrapText="1"/>
    </xf>
    <xf numFmtId="0" fontId="8" fillId="0" borderId="10" xfId="0" applyFont="1" applyBorder="1"/>
    <xf numFmtId="0" fontId="8" fillId="0" borderId="12" xfId="0" applyFont="1" applyBorder="1"/>
    <xf numFmtId="0" fontId="8" fillId="0" borderId="6" xfId="0" applyFont="1" applyBorder="1"/>
    <xf numFmtId="0" fontId="8" fillId="0" borderId="15" xfId="0" applyFont="1" applyBorder="1"/>
    <xf numFmtId="1" fontId="8" fillId="0" borderId="10" xfId="0" applyNumberFormat="1" applyFont="1" applyBorder="1"/>
    <xf numFmtId="1" fontId="3" fillId="0" borderId="10" xfId="0" applyNumberFormat="1" applyFont="1" applyBorder="1"/>
    <xf numFmtId="9" fontId="8" fillId="0" borderId="12" xfId="0" applyNumberFormat="1" applyFont="1" applyBorder="1" applyAlignment="1">
      <alignment horizontal="center" vertical="center"/>
    </xf>
    <xf numFmtId="9" fontId="8" fillId="0" borderId="12" xfId="0" applyNumberFormat="1" applyFont="1" applyBorder="1"/>
    <xf numFmtId="0" fontId="8" fillId="0" borderId="8" xfId="0" applyFont="1" applyBorder="1" applyAlignment="1">
      <alignment horizontal="center" vertical="center"/>
    </xf>
    <xf numFmtId="9" fontId="8" fillId="0" borderId="16" xfId="0" applyNumberFormat="1" applyFont="1" applyBorder="1" applyAlignment="1">
      <alignment horizontal="center" vertical="center"/>
    </xf>
    <xf numFmtId="0" fontId="8" fillId="0" borderId="8" xfId="0" applyFont="1" applyBorder="1"/>
    <xf numFmtId="9" fontId="8" fillId="0" borderId="16" xfId="0" applyNumberFormat="1" applyFont="1" applyBorder="1"/>
    <xf numFmtId="1" fontId="8" fillId="0" borderId="8" xfId="0" applyNumberFormat="1" applyFont="1" applyBorder="1"/>
    <xf numFmtId="9" fontId="8" fillId="0" borderId="0" xfId="0" applyNumberFormat="1" applyFont="1" applyAlignment="1">
      <alignment horizontal="left"/>
    </xf>
    <xf numFmtId="9" fontId="8" fillId="0" borderId="0" xfId="0" applyNumberFormat="1" applyFont="1"/>
    <xf numFmtId="9" fontId="8" fillId="0" borderId="15" xfId="0" applyNumberFormat="1" applyFont="1" applyBorder="1" applyAlignment="1">
      <alignment horizontal="left"/>
    </xf>
    <xf numFmtId="9" fontId="8" fillId="0" borderId="15" xfId="0" applyNumberFormat="1" applyFont="1" applyBorder="1"/>
    <xf numFmtId="1" fontId="8" fillId="0" borderId="7" xfId="0" applyNumberFormat="1" applyFont="1" applyBorder="1"/>
    <xf numFmtId="0" fontId="8" fillId="0" borderId="7" xfId="0" applyFont="1" applyBorder="1"/>
    <xf numFmtId="1" fontId="8" fillId="0" borderId="10" xfId="0" applyNumberFormat="1" applyFont="1" applyBorder="1" applyAlignment="1">
      <alignment horizontal="center" vertical="center"/>
    </xf>
    <xf numFmtId="9" fontId="8" fillId="8" borderId="11" xfId="0" applyNumberFormat="1" applyFont="1" applyFill="1" applyBorder="1" applyAlignment="1">
      <alignment horizontal="center" vertical="center"/>
    </xf>
    <xf numFmtId="0" fontId="8" fillId="0" borderId="10" xfId="0" applyFont="1" applyBorder="1" applyAlignment="1">
      <alignment vertical="center" wrapText="1"/>
    </xf>
    <xf numFmtId="1" fontId="8" fillId="0" borderId="0" xfId="0" applyNumberFormat="1" applyFont="1"/>
    <xf numFmtId="2" fontId="8" fillId="0" borderId="0" xfId="0" applyNumberFormat="1" applyFont="1"/>
    <xf numFmtId="1" fontId="8" fillId="0" borderId="8" xfId="0" applyNumberFormat="1" applyFont="1" applyBorder="1" applyAlignment="1">
      <alignment horizontal="center" vertical="center"/>
    </xf>
    <xf numFmtId="0" fontId="8" fillId="0" borderId="8" xfId="0" applyFont="1" applyBorder="1" applyAlignment="1">
      <alignment vertical="center" wrapText="1"/>
    </xf>
    <xf numFmtId="1" fontId="8" fillId="0" borderId="9" xfId="0" applyNumberFormat="1" applyFont="1" applyBorder="1"/>
    <xf numFmtId="1" fontId="3" fillId="0" borderId="0" xfId="0" applyNumberFormat="1" applyFont="1" applyAlignment="1">
      <alignment vertical="center"/>
    </xf>
    <xf numFmtId="0" fontId="3" fillId="0" borderId="0" xfId="0" applyFont="1" applyAlignment="1">
      <alignment vertical="center"/>
    </xf>
    <xf numFmtId="0" fontId="4" fillId="0" borderId="0" xfId="0" applyFont="1" applyAlignment="1">
      <alignment vertical="top" wrapText="1"/>
    </xf>
    <xf numFmtId="0" fontId="21" fillId="2"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0" xfId="0" applyFont="1" applyAlignment="1">
      <alignment horizontal="center" vertical="center"/>
    </xf>
    <xf numFmtId="0" fontId="8" fillId="11" borderId="1" xfId="0" applyFont="1" applyFill="1" applyBorder="1" applyAlignment="1">
      <alignment horizontal="center" vertical="center"/>
    </xf>
    <xf numFmtId="0" fontId="8" fillId="0" borderId="5" xfId="0" applyFont="1" applyBorder="1" applyAlignment="1">
      <alignment horizontal="center" vertical="center"/>
    </xf>
    <xf numFmtId="0" fontId="0" fillId="0" borderId="5" xfId="0" applyBorder="1"/>
    <xf numFmtId="0" fontId="0" fillId="0" borderId="20" xfId="0" applyBorder="1"/>
    <xf numFmtId="0" fontId="22" fillId="0" borderId="0" xfId="0" applyFont="1"/>
    <xf numFmtId="0" fontId="21" fillId="0" borderId="5" xfId="0" applyFont="1" applyBorder="1" applyAlignment="1">
      <alignment horizontal="center" vertical="center"/>
    </xf>
    <xf numFmtId="0" fontId="21" fillId="0" borderId="1" xfId="0" applyFont="1" applyBorder="1"/>
    <xf numFmtId="0" fontId="21" fillId="11" borderId="1" xfId="0" applyFont="1" applyFill="1" applyBorder="1"/>
    <xf numFmtId="0" fontId="8" fillId="2" borderId="5" xfId="0" applyFont="1" applyFill="1" applyBorder="1"/>
    <xf numFmtId="0" fontId="8" fillId="11" borderId="1" xfId="0" applyFont="1" applyFill="1" applyBorder="1"/>
    <xf numFmtId="0" fontId="3" fillId="11" borderId="5" xfId="0" applyFont="1" applyFill="1" applyBorder="1" applyAlignment="1">
      <alignment wrapText="1"/>
    </xf>
    <xf numFmtId="0" fontId="12" fillId="11" borderId="5" xfId="0" applyFont="1" applyFill="1" applyBorder="1"/>
    <xf numFmtId="0" fontId="14" fillId="11" borderId="5" xfId="0" applyFont="1" applyFill="1" applyBorder="1" applyAlignment="1">
      <alignment vertical="top" wrapText="1"/>
    </xf>
    <xf numFmtId="0" fontId="0" fillId="11" borderId="0" xfId="0" applyFill="1" applyAlignment="1">
      <alignment vertical="top"/>
    </xf>
    <xf numFmtId="0" fontId="0" fillId="11" borderId="5" xfId="0" applyFill="1" applyBorder="1"/>
    <xf numFmtId="0" fontId="13" fillId="11" borderId="1" xfId="0" applyFont="1" applyFill="1" applyBorder="1" applyAlignment="1">
      <alignment vertical="top" wrapText="1"/>
    </xf>
    <xf numFmtId="0" fontId="13" fillId="11" borderId="5" xfId="0" applyFont="1" applyFill="1" applyBorder="1" applyAlignment="1">
      <alignment vertical="top" wrapText="1"/>
    </xf>
    <xf numFmtId="9" fontId="0" fillId="0" borderId="20" xfId="1" applyFont="1" applyBorder="1" applyAlignment="1"/>
    <xf numFmtId="9" fontId="0" fillId="0" borderId="0" xfId="1" applyFont="1" applyAlignment="1"/>
    <xf numFmtId="9" fontId="8" fillId="0" borderId="0" xfId="1" applyFont="1"/>
    <xf numFmtId="0" fontId="8" fillId="2" borderId="5" xfId="0" applyFont="1" applyFill="1" applyBorder="1" applyAlignment="1">
      <alignment horizontal="center" vertical="center"/>
    </xf>
    <xf numFmtId="0" fontId="27" fillId="0" borderId="5" xfId="44" applyFont="1" applyAlignment="1">
      <alignment horizontal="center"/>
    </xf>
    <xf numFmtId="0" fontId="11" fillId="0" borderId="5" xfId="48"/>
    <xf numFmtId="0" fontId="11" fillId="0" borderId="20" xfId="48" applyBorder="1"/>
    <xf numFmtId="0" fontId="4" fillId="2" borderId="5" xfId="48" applyFont="1" applyFill="1"/>
    <xf numFmtId="0" fontId="21" fillId="11" borderId="5" xfId="48" applyFont="1" applyFill="1"/>
    <xf numFmtId="0" fontId="4" fillId="11" borderId="5" xfId="48" applyFont="1" applyFill="1"/>
    <xf numFmtId="0" fontId="21" fillId="11" borderId="5" xfId="48" applyFont="1" applyFill="1" applyAlignment="1">
      <alignment wrapText="1"/>
    </xf>
    <xf numFmtId="0" fontId="3" fillId="11" borderId="5" xfId="48" applyFont="1" applyFill="1" applyAlignment="1">
      <alignment wrapText="1"/>
    </xf>
    <xf numFmtId="0" fontId="12" fillId="11" borderId="5" xfId="48" applyFont="1" applyFill="1"/>
    <xf numFmtId="0" fontId="14" fillId="11" borderId="5" xfId="48" applyFont="1" applyFill="1" applyAlignment="1">
      <alignment vertical="top" wrapText="1"/>
    </xf>
    <xf numFmtId="0" fontId="3" fillId="9" borderId="5" xfId="48" applyFont="1" applyFill="1" applyAlignment="1">
      <alignment horizontal="left"/>
    </xf>
    <xf numFmtId="0" fontId="11" fillId="11" borderId="5" xfId="48" applyFill="1" applyAlignment="1">
      <alignment vertical="top"/>
    </xf>
    <xf numFmtId="0" fontId="11" fillId="11" borderId="5" xfId="48" applyFill="1"/>
    <xf numFmtId="0" fontId="21" fillId="0" borderId="5" xfId="48" applyFont="1"/>
    <xf numFmtId="0" fontId="3" fillId="11" borderId="5" xfId="48" applyFont="1" applyFill="1"/>
    <xf numFmtId="0" fontId="13" fillId="11" borderId="5" xfId="48" applyFont="1" applyFill="1" applyAlignment="1">
      <alignment vertical="top" wrapText="1"/>
    </xf>
    <xf numFmtId="0" fontId="4" fillId="0" borderId="5" xfId="48" applyFont="1"/>
    <xf numFmtId="0" fontId="4" fillId="0" borderId="5" xfId="48" applyFont="1" applyAlignment="1">
      <alignment vertical="top" wrapText="1"/>
    </xf>
    <xf numFmtId="0" fontId="21" fillId="0" borderId="5" xfId="48" applyFont="1" applyAlignment="1">
      <alignment wrapText="1"/>
    </xf>
    <xf numFmtId="9" fontId="0" fillId="0" borderId="20" xfId="49" applyFont="1" applyBorder="1" applyAlignment="1"/>
    <xf numFmtId="1" fontId="26" fillId="0" borderId="5" xfId="44" applyNumberFormat="1" applyAlignment="1">
      <alignment vertical="top"/>
    </xf>
    <xf numFmtId="0" fontId="26" fillId="0" borderId="5" xfId="44"/>
    <xf numFmtId="0" fontId="26" fillId="0" borderId="5" xfId="44" applyAlignment="1">
      <alignment horizontal="center"/>
    </xf>
    <xf numFmtId="0" fontId="8" fillId="0" borderId="0" xfId="0" applyFont="1" applyAlignment="1">
      <alignment horizontal="left" wrapText="1"/>
    </xf>
    <xf numFmtId="0" fontId="5" fillId="0" borderId="0" xfId="0" applyFont="1" applyAlignment="1">
      <alignment horizontal="center"/>
    </xf>
    <xf numFmtId="0" fontId="7" fillId="0" borderId="0" xfId="0" applyFont="1" applyAlignment="1">
      <alignment horizontal="center" wrapText="1"/>
    </xf>
    <xf numFmtId="0" fontId="8" fillId="0" borderId="0" xfId="0" applyFont="1" applyAlignment="1">
      <alignment horizontal="left" vertical="top"/>
    </xf>
    <xf numFmtId="0" fontId="3" fillId="2" borderId="3" xfId="0" applyFont="1" applyFill="1" applyBorder="1" applyAlignment="1">
      <alignment horizontal="center" vertical="center"/>
    </xf>
    <xf numFmtId="0" fontId="3" fillId="2" borderId="5" xfId="0" applyFont="1" applyFill="1" applyBorder="1" applyAlignment="1">
      <alignment horizontal="center" vertical="center"/>
    </xf>
    <xf numFmtId="0" fontId="3" fillId="13" borderId="18" xfId="0" applyFont="1" applyFill="1" applyBorder="1" applyAlignment="1">
      <alignment horizontal="center" vertical="center" wrapText="1"/>
    </xf>
    <xf numFmtId="0" fontId="3" fillId="11" borderId="3" xfId="0" applyFont="1" applyFill="1" applyBorder="1" applyAlignment="1">
      <alignment horizontal="left" wrapText="1"/>
    </xf>
    <xf numFmtId="0" fontId="3" fillId="11" borderId="5" xfId="0" applyFont="1" applyFill="1" applyBorder="1" applyAlignment="1">
      <alignment horizontal="left" wrapText="1"/>
    </xf>
    <xf numFmtId="0" fontId="12" fillId="11" borderId="4" xfId="0" applyFont="1" applyFill="1" applyBorder="1"/>
    <xf numFmtId="0" fontId="25" fillId="0" borderId="24" xfId="48" applyFont="1" applyBorder="1" applyAlignment="1">
      <alignment horizontal="center" vertical="center" wrapText="1"/>
    </xf>
    <xf numFmtId="0" fontId="3" fillId="14" borderId="18" xfId="48" applyFont="1" applyFill="1" applyBorder="1" applyAlignment="1">
      <alignment horizontal="center" vertical="center" wrapText="1"/>
    </xf>
    <xf numFmtId="0" fontId="3" fillId="14" borderId="5" xfId="48" applyFont="1" applyFill="1" applyAlignment="1">
      <alignment horizontal="center" vertical="center" wrapText="1"/>
    </xf>
    <xf numFmtId="0" fontId="25" fillId="0" borderId="25" xfId="48" applyFont="1" applyBorder="1" applyAlignment="1">
      <alignment horizontal="center" vertical="center" wrapText="1"/>
    </xf>
    <xf numFmtId="0" fontId="11" fillId="0" borderId="5" xfId="48" applyAlignment="1">
      <alignment horizontal="center"/>
    </xf>
    <xf numFmtId="1" fontId="11" fillId="0" borderId="5" xfId="48" applyNumberFormat="1" applyAlignment="1">
      <alignment horizontal="center"/>
    </xf>
    <xf numFmtId="1" fontId="0" fillId="0" borderId="0" xfId="0" applyNumberFormat="1" applyAlignment="1">
      <alignment horizontal="center"/>
    </xf>
    <xf numFmtId="0" fontId="25" fillId="10" borderId="1" xfId="0" applyFont="1" applyFill="1" applyBorder="1" applyAlignment="1">
      <alignment horizontal="center" vertical="center"/>
    </xf>
    <xf numFmtId="0" fontId="0" fillId="0" borderId="0" xfId="0" applyAlignment="1">
      <alignment horizontal="center" vertical="center"/>
    </xf>
    <xf numFmtId="0" fontId="8" fillId="2" borderId="1" xfId="0" applyFont="1" applyFill="1" applyBorder="1" applyAlignment="1">
      <alignment vertical="center"/>
    </xf>
    <xf numFmtId="0" fontId="0" fillId="0" borderId="0" xfId="0" applyAlignment="1">
      <alignment vertical="center"/>
    </xf>
    <xf numFmtId="0" fontId="0" fillId="0" borderId="20" xfId="0" applyBorder="1" applyAlignment="1">
      <alignment horizontal="center" vertical="center"/>
    </xf>
    <xf numFmtId="0" fontId="11" fillId="0" borderId="20" xfId="0" applyFont="1" applyBorder="1" applyAlignment="1">
      <alignment horizontal="center" vertical="center"/>
    </xf>
    <xf numFmtId="0" fontId="12" fillId="0" borderId="5" xfId="0" applyFont="1" applyBorder="1" applyAlignment="1">
      <alignment horizontal="center" vertical="center"/>
    </xf>
    <xf numFmtId="0" fontId="12" fillId="0" borderId="4" xfId="0" applyFont="1" applyBorder="1" applyAlignment="1">
      <alignment horizontal="center" vertical="center"/>
    </xf>
    <xf numFmtId="0" fontId="11" fillId="0" borderId="5" xfId="0" applyFont="1" applyBorder="1" applyAlignment="1">
      <alignment horizontal="center" wrapText="1"/>
    </xf>
    <xf numFmtId="9" fontId="22" fillId="9" borderId="5" xfId="0" applyNumberFormat="1" applyFont="1" applyFill="1" applyBorder="1" applyAlignment="1">
      <alignment horizontal="center"/>
    </xf>
    <xf numFmtId="0" fontId="3" fillId="11" borderId="1" xfId="0" applyFont="1" applyFill="1" applyBorder="1" applyAlignment="1">
      <alignment horizontal="center" vertical="center"/>
    </xf>
    <xf numFmtId="0" fontId="0" fillId="0" borderId="5" xfId="0" applyBorder="1" applyAlignment="1">
      <alignment horizontal="center" vertical="center"/>
    </xf>
    <xf numFmtId="0" fontId="8" fillId="0" borderId="5" xfId="0" applyFont="1" applyBorder="1"/>
    <xf numFmtId="0" fontId="21" fillId="0" borderId="5" xfId="0" applyFont="1" applyBorder="1" applyAlignment="1">
      <alignment wrapText="1"/>
    </xf>
    <xf numFmtId="0" fontId="0" fillId="11" borderId="0" xfId="0" applyFill="1" applyAlignment="1">
      <alignment vertical="center"/>
    </xf>
    <xf numFmtId="0" fontId="11" fillId="0" borderId="20" xfId="0" applyFont="1" applyBorder="1" applyAlignment="1">
      <alignment horizontal="center" vertical="center" wrapText="1"/>
    </xf>
    <xf numFmtId="0" fontId="0" fillId="9" borderId="5" xfId="0" applyFill="1" applyBorder="1" applyAlignment="1">
      <alignment horizontal="center"/>
    </xf>
    <xf numFmtId="0" fontId="17" fillId="0" borderId="1" xfId="0" applyFont="1" applyBorder="1" applyAlignment="1">
      <alignment horizontal="center" vertical="center"/>
    </xf>
    <xf numFmtId="0" fontId="12" fillId="0" borderId="5" xfId="0" applyFont="1" applyBorder="1" applyAlignment="1">
      <alignment horizontal="center"/>
    </xf>
    <xf numFmtId="0" fontId="0" fillId="9" borderId="0" xfId="0" applyFill="1"/>
    <xf numFmtId="0" fontId="11" fillId="0" borderId="5" xfId="0" applyFont="1" applyBorder="1" applyAlignment="1">
      <alignment horizontal="center" vertical="center" wrapText="1"/>
    </xf>
    <xf numFmtId="9" fontId="8" fillId="8" borderId="5" xfId="0" applyNumberFormat="1" applyFont="1" applyFill="1" applyBorder="1" applyAlignment="1">
      <alignment horizontal="center" vertical="center"/>
    </xf>
    <xf numFmtId="1" fontId="8" fillId="0" borderId="5" xfId="0" applyNumberFormat="1" applyFont="1" applyBorder="1"/>
    <xf numFmtId="1" fontId="8" fillId="0" borderId="39" xfId="0" applyNumberFormat="1" applyFont="1" applyBorder="1"/>
    <xf numFmtId="0" fontId="8" fillId="0" borderId="17" xfId="0" applyFont="1" applyBorder="1"/>
    <xf numFmtId="0" fontId="8" fillId="0" borderId="36" xfId="0" applyFont="1" applyBorder="1"/>
    <xf numFmtId="1" fontId="8" fillId="0" borderId="19" xfId="0" applyNumberFormat="1" applyFont="1" applyBorder="1"/>
    <xf numFmtId="9" fontId="8" fillId="8" borderId="37" xfId="0" applyNumberFormat="1" applyFont="1" applyFill="1" applyBorder="1" applyAlignment="1">
      <alignment horizontal="center" vertical="center"/>
    </xf>
    <xf numFmtId="1" fontId="8" fillId="0" borderId="40" xfId="0" applyNumberFormat="1" applyFont="1" applyBorder="1"/>
    <xf numFmtId="9" fontId="8" fillId="0" borderId="12" xfId="0" applyNumberFormat="1" applyFont="1" applyBorder="1" applyAlignment="1">
      <alignment horizontal="center"/>
    </xf>
    <xf numFmtId="9" fontId="8" fillId="0" borderId="16" xfId="0" applyNumberFormat="1" applyFont="1" applyBorder="1" applyAlignment="1">
      <alignment horizontal="center"/>
    </xf>
    <xf numFmtId="9" fontId="8" fillId="0" borderId="5" xfId="0" applyNumberFormat="1" applyFont="1" applyBorder="1" applyAlignment="1">
      <alignment horizontal="center"/>
    </xf>
    <xf numFmtId="9" fontId="8" fillId="0" borderId="9" xfId="0" applyNumberFormat="1" applyFont="1" applyBorder="1" applyAlignment="1">
      <alignment horizontal="center"/>
    </xf>
    <xf numFmtId="9" fontId="8" fillId="0" borderId="37" xfId="0" applyNumberFormat="1" applyFont="1" applyBorder="1" applyAlignment="1">
      <alignment horizontal="center"/>
    </xf>
    <xf numFmtId="9" fontId="8" fillId="0" borderId="38" xfId="0" applyNumberFormat="1" applyFont="1" applyBorder="1" applyAlignment="1">
      <alignment horizontal="center"/>
    </xf>
    <xf numFmtId="9" fontId="34" fillId="0" borderId="0" xfId="1" applyFont="1" applyAlignment="1"/>
    <xf numFmtId="0" fontId="2" fillId="0" borderId="0" xfId="0" applyFont="1" applyAlignment="1">
      <alignment vertical="center" wrapText="1"/>
    </xf>
    <xf numFmtId="9" fontId="34" fillId="0" borderId="0" xfId="0" applyNumberFormat="1" applyFont="1"/>
    <xf numFmtId="9" fontId="2" fillId="0" borderId="0" xfId="0" applyNumberFormat="1" applyFont="1"/>
    <xf numFmtId="0" fontId="0" fillId="0" borderId="5" xfId="0" applyBorder="1" applyAlignment="1">
      <alignment horizontal="center"/>
    </xf>
    <xf numFmtId="0" fontId="3" fillId="9" borderId="5" xfId="0" applyFont="1" applyFill="1" applyBorder="1" applyAlignment="1">
      <alignment horizontal="center" vertical="center"/>
    </xf>
    <xf numFmtId="0" fontId="3" fillId="0" borderId="5" xfId="0" applyFont="1" applyBorder="1" applyAlignment="1">
      <alignment horizontal="center" vertical="center"/>
    </xf>
    <xf numFmtId="1" fontId="3" fillId="0" borderId="5" xfId="0" applyNumberFormat="1" applyFont="1" applyBorder="1" applyAlignment="1">
      <alignment horizontal="center" vertical="center"/>
    </xf>
    <xf numFmtId="0" fontId="3" fillId="0" borderId="37"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xf numFmtId="1" fontId="3" fillId="0" borderId="18" xfId="0" applyNumberFormat="1" applyFont="1" applyBorder="1"/>
    <xf numFmtId="0" fontId="8" fillId="9" borderId="18" xfId="0" applyFont="1" applyFill="1" applyBorder="1"/>
    <xf numFmtId="0" fontId="8" fillId="0" borderId="18" xfId="0" applyFont="1" applyBorder="1"/>
    <xf numFmtId="0" fontId="12" fillId="0" borderId="19" xfId="0" applyFont="1" applyBorder="1"/>
    <xf numFmtId="0" fontId="3" fillId="0" borderId="5" xfId="0" applyFont="1" applyBorder="1"/>
    <xf numFmtId="1" fontId="3" fillId="0" borderId="5" xfId="0" applyNumberFormat="1" applyFont="1" applyBorder="1"/>
    <xf numFmtId="0" fontId="8" fillId="0" borderId="37" xfId="0" applyFont="1" applyBorder="1"/>
    <xf numFmtId="1" fontId="3" fillId="0" borderId="5" xfId="0" applyNumberFormat="1" applyFont="1" applyBorder="1" applyAlignment="1">
      <alignment horizontal="center"/>
    </xf>
    <xf numFmtId="1" fontId="4" fillId="9" borderId="5" xfId="0" applyNumberFormat="1" applyFont="1" applyFill="1" applyBorder="1"/>
    <xf numFmtId="1" fontId="8" fillId="0" borderId="5" xfId="0" applyNumberFormat="1" applyFont="1" applyBorder="1" applyAlignment="1">
      <alignment horizontal="center"/>
    </xf>
    <xf numFmtId="1" fontId="0" fillId="0" borderId="5" xfId="0" applyNumberFormat="1" applyBorder="1" applyAlignment="1">
      <alignment horizontal="center"/>
    </xf>
    <xf numFmtId="1" fontId="8" fillId="9" borderId="5" xfId="0" applyNumberFormat="1" applyFont="1" applyFill="1" applyBorder="1"/>
    <xf numFmtId="0" fontId="2" fillId="0" borderId="5" xfId="0" applyFont="1" applyBorder="1"/>
    <xf numFmtId="0" fontId="11" fillId="0" borderId="5" xfId="0" applyFont="1" applyBorder="1" applyAlignment="1">
      <alignment horizontal="center"/>
    </xf>
    <xf numFmtId="1" fontId="11" fillId="0" borderId="5" xfId="0" applyNumberFormat="1" applyFont="1" applyBorder="1" applyAlignment="1">
      <alignment horizontal="center"/>
    </xf>
    <xf numFmtId="0" fontId="11" fillId="0" borderId="37" xfId="0" applyFont="1" applyBorder="1" applyAlignment="1">
      <alignment horizontal="center"/>
    </xf>
    <xf numFmtId="1" fontId="4" fillId="0" borderId="5" xfId="0" applyNumberFormat="1" applyFont="1" applyBorder="1" applyAlignment="1">
      <alignment horizontal="center"/>
    </xf>
    <xf numFmtId="1" fontId="4" fillId="0" borderId="37" xfId="0" applyNumberFormat="1" applyFont="1" applyBorder="1" applyAlignment="1">
      <alignment horizontal="center"/>
    </xf>
    <xf numFmtId="0" fontId="8" fillId="0" borderId="5" xfId="0" applyFont="1" applyBorder="1" applyAlignment="1">
      <alignment horizontal="center"/>
    </xf>
    <xf numFmtId="0" fontId="11" fillId="0" borderId="5" xfId="0" applyFont="1" applyBorder="1"/>
    <xf numFmtId="9" fontId="8" fillId="0" borderId="5" xfId="0" applyNumberFormat="1" applyFont="1" applyBorder="1"/>
    <xf numFmtId="0" fontId="12" fillId="0" borderId="40" xfId="0" applyFont="1" applyBorder="1"/>
    <xf numFmtId="0" fontId="3" fillId="0" borderId="41" xfId="0" applyFont="1" applyBorder="1"/>
    <xf numFmtId="0" fontId="3" fillId="0" borderId="42" xfId="0" applyFont="1" applyBorder="1"/>
    <xf numFmtId="1" fontId="3" fillId="0" borderId="42" xfId="0" applyNumberFormat="1" applyFont="1" applyBorder="1" applyAlignment="1">
      <alignment vertical="center"/>
    </xf>
    <xf numFmtId="0" fontId="3" fillId="0" borderId="42" xfId="0" applyFont="1" applyBorder="1" applyAlignment="1">
      <alignment horizontal="center" vertical="center"/>
    </xf>
    <xf numFmtId="0" fontId="8" fillId="0" borderId="39" xfId="0" applyFont="1" applyBorder="1"/>
    <xf numFmtId="0" fontId="3" fillId="0" borderId="43" xfId="0" applyFont="1" applyBorder="1" applyAlignment="1">
      <alignment horizontal="center" vertical="center"/>
    </xf>
    <xf numFmtId="0" fontId="0" fillId="11" borderId="20" xfId="0" applyFill="1" applyBorder="1" applyAlignment="1">
      <alignment horizontal="center" vertical="center"/>
    </xf>
    <xf numFmtId="0" fontId="21" fillId="20" borderId="20" xfId="0" applyFont="1" applyFill="1" applyBorder="1" applyAlignment="1">
      <alignment horizontal="center" vertical="center"/>
    </xf>
    <xf numFmtId="0" fontId="16" fillId="20" borderId="20" xfId="0" applyFont="1" applyFill="1" applyBorder="1" applyAlignment="1">
      <alignment horizontal="center" vertical="center" wrapText="1"/>
    </xf>
    <xf numFmtId="0" fontId="21" fillId="20" borderId="29" xfId="0" applyFont="1" applyFill="1" applyBorder="1" applyAlignment="1">
      <alignment horizontal="center" vertical="center"/>
    </xf>
    <xf numFmtId="0" fontId="2" fillId="19" borderId="29" xfId="0" applyFont="1" applyFill="1" applyBorder="1" applyAlignment="1">
      <alignment horizontal="center" vertical="center" wrapText="1"/>
    </xf>
    <xf numFmtId="0" fontId="2" fillId="19" borderId="29" xfId="0" applyFont="1" applyFill="1" applyBorder="1" applyAlignment="1">
      <alignment horizontal="center" vertical="center"/>
    </xf>
    <xf numFmtId="0" fontId="14" fillId="20" borderId="27" xfId="0" applyFont="1" applyFill="1" applyBorder="1" applyAlignment="1">
      <alignment horizontal="center" vertical="center"/>
    </xf>
    <xf numFmtId="0" fontId="15" fillId="11" borderId="20" xfId="0" applyFont="1" applyFill="1" applyBorder="1" applyAlignment="1">
      <alignment horizontal="center" vertical="center"/>
    </xf>
    <xf numFmtId="0" fontId="37" fillId="0" borderId="30" xfId="0" applyFont="1" applyBorder="1" applyAlignment="1">
      <alignment horizontal="center" wrapText="1"/>
    </xf>
    <xf numFmtId="0" fontId="37" fillId="0" borderId="33" xfId="0" applyFont="1" applyBorder="1" applyAlignment="1">
      <alignment horizontal="center" wrapText="1"/>
    </xf>
    <xf numFmtId="0" fontId="38" fillId="0" borderId="32" xfId="0" applyFont="1" applyBorder="1" applyAlignment="1">
      <alignment horizontal="center" wrapText="1"/>
    </xf>
    <xf numFmtId="0" fontId="37" fillId="0" borderId="31" xfId="0" applyFont="1" applyBorder="1" applyAlignment="1">
      <alignment horizontal="center" wrapText="1"/>
    </xf>
    <xf numFmtId="1" fontId="0" fillId="0" borderId="25" xfId="0" applyNumberFormat="1" applyBorder="1" applyAlignment="1">
      <alignment horizontal="center"/>
    </xf>
    <xf numFmtId="9" fontId="8" fillId="0" borderId="25" xfId="1" applyFont="1" applyBorder="1" applyAlignment="1">
      <alignment horizontal="center"/>
    </xf>
    <xf numFmtId="1" fontId="8" fillId="0" borderId="19" xfId="0" applyNumberFormat="1" applyFont="1" applyBorder="1" applyAlignment="1">
      <alignment horizontal="center"/>
    </xf>
    <xf numFmtId="1" fontId="8" fillId="0" borderId="25" xfId="0" applyNumberFormat="1" applyFont="1" applyBorder="1" applyAlignment="1">
      <alignment horizontal="center"/>
    </xf>
    <xf numFmtId="9" fontId="0" fillId="0" borderId="37" xfId="1" applyFont="1" applyBorder="1" applyAlignment="1">
      <alignment horizontal="center"/>
    </xf>
    <xf numFmtId="1" fontId="0" fillId="0" borderId="19" xfId="1" applyNumberFormat="1" applyFont="1" applyBorder="1" applyAlignment="1">
      <alignment horizontal="center"/>
    </xf>
    <xf numFmtId="1" fontId="11" fillId="0" borderId="25" xfId="0" applyNumberFormat="1" applyFont="1" applyBorder="1" applyAlignment="1">
      <alignment horizontal="center"/>
    </xf>
    <xf numFmtId="1" fontId="0" fillId="0" borderId="26" xfId="0" applyNumberFormat="1" applyBorder="1" applyAlignment="1">
      <alignment horizontal="center"/>
    </xf>
    <xf numFmtId="1" fontId="0" fillId="0" borderId="39" xfId="0" applyNumberFormat="1" applyBorder="1" applyAlignment="1">
      <alignment horizontal="center"/>
    </xf>
    <xf numFmtId="9" fontId="8" fillId="0" borderId="26" xfId="1" applyFont="1" applyBorder="1" applyAlignment="1">
      <alignment horizontal="center"/>
    </xf>
    <xf numFmtId="1" fontId="8" fillId="0" borderId="40" xfId="0" applyNumberFormat="1" applyFont="1" applyBorder="1" applyAlignment="1">
      <alignment horizontal="center"/>
    </xf>
    <xf numFmtId="1" fontId="8" fillId="0" borderId="26" xfId="0" applyNumberFormat="1" applyFont="1" applyBorder="1" applyAlignment="1">
      <alignment horizontal="center"/>
    </xf>
    <xf numFmtId="1" fontId="0" fillId="0" borderId="40" xfId="1" applyNumberFormat="1" applyFont="1" applyBorder="1" applyAlignment="1">
      <alignment horizontal="center"/>
    </xf>
    <xf numFmtId="1" fontId="11" fillId="0" borderId="26" xfId="0" applyNumberFormat="1" applyFont="1" applyBorder="1" applyAlignment="1">
      <alignment horizontal="center"/>
    </xf>
    <xf numFmtId="0" fontId="14" fillId="13" borderId="31" xfId="48" applyFont="1" applyFill="1" applyBorder="1" applyAlignment="1">
      <alignment vertical="top" wrapText="1"/>
    </xf>
    <xf numFmtId="0" fontId="14" fillId="14" borderId="35" xfId="48" applyFont="1" applyFill="1" applyBorder="1" applyAlignment="1">
      <alignment horizontal="center" vertical="top" wrapText="1"/>
    </xf>
    <xf numFmtId="0" fontId="3" fillId="14" borderId="35" xfId="48" applyFont="1" applyFill="1" applyBorder="1" applyAlignment="1">
      <alignment horizontal="center" vertical="top" wrapText="1"/>
    </xf>
    <xf numFmtId="0" fontId="3" fillId="14" borderId="34" xfId="48" applyFont="1" applyFill="1" applyBorder="1" applyAlignment="1">
      <alignment horizontal="center" vertical="top" wrapText="1"/>
    </xf>
    <xf numFmtId="0" fontId="3" fillId="0" borderId="33" xfId="48" applyFont="1" applyBorder="1" applyAlignment="1">
      <alignment horizontal="center" vertical="top" wrapText="1"/>
    </xf>
    <xf numFmtId="0" fontId="14" fillId="0" borderId="33" xfId="48" applyFont="1" applyBorder="1" applyAlignment="1">
      <alignment horizontal="center" vertical="top" wrapText="1"/>
    </xf>
    <xf numFmtId="0" fontId="14" fillId="13" borderId="33" xfId="48" applyFont="1" applyFill="1" applyBorder="1" applyAlignment="1">
      <alignment vertical="top" wrapText="1"/>
    </xf>
    <xf numFmtId="0" fontId="0" fillId="0" borderId="18" xfId="0" applyBorder="1"/>
    <xf numFmtId="0" fontId="0" fillId="0" borderId="36" xfId="0" applyBorder="1"/>
    <xf numFmtId="1" fontId="8" fillId="0" borderId="18" xfId="0" applyNumberFormat="1" applyFont="1" applyBorder="1"/>
    <xf numFmtId="9" fontId="8" fillId="0" borderId="18" xfId="0" applyNumberFormat="1" applyFont="1" applyBorder="1"/>
    <xf numFmtId="1" fontId="8" fillId="0" borderId="5" xfId="0" applyNumberFormat="1" applyFont="1" applyBorder="1" applyAlignment="1">
      <alignment horizontal="center" vertical="center"/>
    </xf>
    <xf numFmtId="1" fontId="2" fillId="0" borderId="5" xfId="0" applyNumberFormat="1" applyFont="1" applyBorder="1" applyAlignment="1">
      <alignment horizontal="center" vertical="center"/>
    </xf>
    <xf numFmtId="0" fontId="8" fillId="0" borderId="40" xfId="0" applyFont="1" applyBorder="1"/>
    <xf numFmtId="1" fontId="3" fillId="0" borderId="42" xfId="0" applyNumberFormat="1" applyFont="1" applyBorder="1" applyAlignment="1">
      <alignment horizontal="center" vertical="center"/>
    </xf>
    <xf numFmtId="1" fontId="3" fillId="0" borderId="39" xfId="0" applyNumberFormat="1" applyFont="1" applyBorder="1"/>
    <xf numFmtId="1" fontId="3" fillId="0" borderId="43" xfId="0" applyNumberFormat="1" applyFont="1" applyBorder="1" applyAlignment="1">
      <alignment horizontal="center" vertical="center"/>
    </xf>
    <xf numFmtId="0" fontId="3" fillId="0" borderId="17" xfId="0" applyFont="1" applyBorder="1"/>
    <xf numFmtId="0" fontId="3" fillId="0" borderId="19" xfId="0" applyFont="1" applyBorder="1"/>
    <xf numFmtId="0" fontId="8" fillId="0" borderId="19" xfId="0" applyFont="1" applyBorder="1"/>
    <xf numFmtId="0" fontId="3" fillId="0" borderId="44" xfId="0" applyFont="1" applyBorder="1"/>
    <xf numFmtId="0" fontId="21" fillId="12" borderId="29" xfId="0" applyFont="1" applyFill="1" applyBorder="1" applyAlignment="1">
      <alignment horizontal="center" vertical="center" wrapText="1"/>
    </xf>
    <xf numFmtId="0" fontId="3" fillId="13" borderId="39" xfId="0" applyFont="1" applyFill="1" applyBorder="1" applyAlignment="1">
      <alignment horizontal="center" vertical="center" wrapText="1"/>
    </xf>
    <xf numFmtId="1" fontId="0" fillId="0" borderId="5" xfId="1" applyNumberFormat="1" applyFont="1" applyBorder="1" applyAlignment="1">
      <alignment horizontal="center"/>
    </xf>
    <xf numFmtId="9" fontId="8" fillId="0" borderId="5" xfId="1" applyFont="1" applyBorder="1" applyAlignment="1">
      <alignment horizontal="center"/>
    </xf>
    <xf numFmtId="0" fontId="28" fillId="0" borderId="5" xfId="44" applyFont="1" applyAlignment="1">
      <alignment horizontal="center" wrapText="1"/>
    </xf>
    <xf numFmtId="0" fontId="28" fillId="0" borderId="5" xfId="44" applyFont="1" applyAlignment="1">
      <alignment horizontal="center"/>
    </xf>
    <xf numFmtId="0" fontId="28" fillId="0" borderId="5" xfId="44" applyFont="1"/>
    <xf numFmtId="0" fontId="29" fillId="0" borderId="5" xfId="44" applyFont="1"/>
    <xf numFmtId="165" fontId="30" fillId="0" borderId="5" xfId="45" applyNumberFormat="1" applyFont="1" applyFill="1" applyBorder="1" applyAlignment="1">
      <alignment horizontal="right" vertical="top"/>
    </xf>
    <xf numFmtId="165" fontId="26" fillId="0" borderId="5" xfId="45" applyNumberFormat="1" applyFont="1" applyFill="1" applyBorder="1" applyAlignment="1">
      <alignment horizontal="right" vertical="top"/>
    </xf>
    <xf numFmtId="3" fontId="26" fillId="0" borderId="5" xfId="44" applyNumberFormat="1"/>
    <xf numFmtId="0" fontId="28" fillId="0" borderId="5" xfId="44" applyFont="1" applyAlignment="1">
      <alignment horizontal="center" vertical="center"/>
    </xf>
    <xf numFmtId="165" fontId="31" fillId="0" borderId="5" xfId="45" applyNumberFormat="1" applyFont="1" applyFill="1" applyBorder="1" applyAlignment="1">
      <alignment horizontal="right" vertical="top"/>
    </xf>
    <xf numFmtId="165" fontId="32" fillId="0" borderId="5" xfId="45" applyNumberFormat="1" applyFont="1" applyFill="1" applyBorder="1" applyAlignment="1">
      <alignment horizontal="right" vertical="top"/>
    </xf>
    <xf numFmtId="1" fontId="14" fillId="0" borderId="5" xfId="0" applyNumberFormat="1" applyFont="1" applyBorder="1" applyAlignment="1">
      <alignment horizontal="center"/>
    </xf>
    <xf numFmtId="0" fontId="39" fillId="0" borderId="5" xfId="0" applyFont="1" applyBorder="1" applyAlignment="1">
      <alignment horizontal="center" vertical="center"/>
    </xf>
    <xf numFmtId="1" fontId="39" fillId="0" borderId="5" xfId="0" applyNumberFormat="1" applyFont="1" applyBorder="1" applyAlignment="1">
      <alignment horizontal="center" vertical="center"/>
    </xf>
    <xf numFmtId="9" fontId="0" fillId="0" borderId="5" xfId="0" applyNumberFormat="1" applyBorder="1"/>
    <xf numFmtId="0" fontId="14" fillId="0" borderId="5" xfId="0" applyFont="1" applyBorder="1" applyAlignment="1">
      <alignment horizontal="center"/>
    </xf>
    <xf numFmtId="0" fontId="39" fillId="0" borderId="5" xfId="0" applyFont="1" applyBorder="1" applyAlignment="1">
      <alignment vertical="center"/>
    </xf>
    <xf numFmtId="0" fontId="40" fillId="0" borderId="5" xfId="0" applyFont="1" applyBorder="1" applyAlignment="1">
      <alignment horizontal="center"/>
    </xf>
    <xf numFmtId="1" fontId="12" fillId="0" borderId="25" xfId="0" applyNumberFormat="1" applyFont="1" applyBorder="1" applyAlignment="1">
      <alignment horizontal="center"/>
    </xf>
    <xf numFmtId="1" fontId="0" fillId="0" borderId="0" xfId="0" applyNumberFormat="1"/>
    <xf numFmtId="9" fontId="29" fillId="0" borderId="5" xfId="44" applyNumberFormat="1" applyFont="1"/>
    <xf numFmtId="9" fontId="0" fillId="0" borderId="0" xfId="0" applyNumberFormat="1"/>
    <xf numFmtId="9" fontId="8" fillId="8" borderId="37" xfId="0" applyNumberFormat="1" applyFont="1" applyFill="1" applyBorder="1" applyAlignment="1">
      <alignment horizontal="right" vertical="center"/>
    </xf>
    <xf numFmtId="9" fontId="8" fillId="0" borderId="12" xfId="0" applyNumberFormat="1" applyFont="1" applyBorder="1" applyAlignment="1">
      <alignment horizontal="right"/>
    </xf>
    <xf numFmtId="9" fontId="8" fillId="9" borderId="16" xfId="0" applyNumberFormat="1" applyFont="1" applyFill="1" applyBorder="1" applyAlignment="1">
      <alignment horizontal="right"/>
    </xf>
    <xf numFmtId="9" fontId="8" fillId="9" borderId="12" xfId="0" applyNumberFormat="1" applyFont="1" applyFill="1" applyBorder="1"/>
    <xf numFmtId="9" fontId="8" fillId="9" borderId="25" xfId="1" applyFont="1" applyFill="1" applyBorder="1" applyAlignment="1">
      <alignment horizontal="center"/>
    </xf>
    <xf numFmtId="9" fontId="8" fillId="9" borderId="26" xfId="1" applyFont="1" applyFill="1" applyBorder="1" applyAlignment="1">
      <alignment horizontal="center"/>
    </xf>
    <xf numFmtId="9" fontId="0" fillId="9" borderId="37" xfId="1" applyFont="1" applyFill="1" applyBorder="1" applyAlignment="1">
      <alignment horizontal="center"/>
    </xf>
    <xf numFmtId="9" fontId="0" fillId="9" borderId="38" xfId="1" applyFont="1" applyFill="1" applyBorder="1" applyAlignment="1">
      <alignment horizontal="center"/>
    </xf>
    <xf numFmtId="0" fontId="39" fillId="11" borderId="20" xfId="0" applyFont="1" applyFill="1" applyBorder="1" applyAlignment="1">
      <alignment horizontal="center" vertical="center"/>
    </xf>
    <xf numFmtId="1" fontId="39" fillId="11" borderId="20" xfId="0" applyNumberFormat="1" applyFont="1" applyFill="1" applyBorder="1" applyAlignment="1">
      <alignment horizontal="center" vertical="center"/>
    </xf>
    <xf numFmtId="1" fontId="0" fillId="11" borderId="20" xfId="0" applyNumberFormat="1" applyFill="1" applyBorder="1" applyAlignment="1">
      <alignment horizontal="center" vertical="center"/>
    </xf>
    <xf numFmtId="0" fontId="12" fillId="11" borderId="20" xfId="0" applyFont="1" applyFill="1" applyBorder="1" applyAlignment="1">
      <alignment horizontal="center" vertical="center"/>
    </xf>
    <xf numFmtId="9" fontId="22" fillId="9" borderId="5" xfId="0" applyNumberFormat="1" applyFont="1" applyFill="1" applyBorder="1" applyAlignment="1">
      <alignment horizontal="center" vertical="center"/>
    </xf>
    <xf numFmtId="1" fontId="14" fillId="20" borderId="27" xfId="0" applyNumberFormat="1" applyFont="1" applyFill="1" applyBorder="1" applyAlignment="1">
      <alignment horizontal="center" vertical="center"/>
    </xf>
    <xf numFmtId="1" fontId="11" fillId="0" borderId="20" xfId="0" applyNumberFormat="1" applyFont="1" applyBorder="1" applyAlignment="1">
      <alignment horizontal="center" vertical="center"/>
    </xf>
    <xf numFmtId="0" fontId="11" fillId="2" borderId="5"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4" fillId="0" borderId="33" xfId="0" applyFont="1" applyBorder="1" applyAlignment="1">
      <alignment horizontal="center" vertical="center" wrapText="1"/>
    </xf>
    <xf numFmtId="0" fontId="14" fillId="13" borderId="33" xfId="0" applyFont="1" applyFill="1" applyBorder="1" applyAlignment="1">
      <alignment horizontal="center" vertical="center" wrapText="1"/>
    </xf>
    <xf numFmtId="0" fontId="14" fillId="13" borderId="31" xfId="0" applyFont="1" applyFill="1" applyBorder="1" applyAlignment="1">
      <alignment horizontal="center" vertical="center" wrapText="1"/>
    </xf>
    <xf numFmtId="0" fontId="12" fillId="0" borderId="0" xfId="0" applyFont="1" applyAlignment="1">
      <alignment horizontal="center" vertical="center"/>
    </xf>
    <xf numFmtId="0" fontId="39" fillId="11" borderId="5" xfId="0" applyFont="1" applyFill="1" applyBorder="1" applyAlignment="1">
      <alignment horizontal="center" vertical="center"/>
    </xf>
    <xf numFmtId="1" fontId="11" fillId="0" borderId="5" xfId="0" applyNumberFormat="1" applyFont="1" applyBorder="1" applyAlignment="1">
      <alignment horizontal="center" vertical="center"/>
    </xf>
    <xf numFmtId="1" fontId="0" fillId="0" borderId="5" xfId="0" applyNumberFormat="1" applyBorder="1" applyAlignment="1">
      <alignment horizontal="center" vertical="center"/>
    </xf>
    <xf numFmtId="0" fontId="14" fillId="11" borderId="27" xfId="0" applyFont="1" applyFill="1" applyBorder="1" applyAlignment="1">
      <alignment horizontal="center" vertical="center"/>
    </xf>
    <xf numFmtId="1" fontId="14" fillId="11" borderId="27" xfId="0" applyNumberFormat="1" applyFont="1" applyFill="1" applyBorder="1" applyAlignment="1">
      <alignment horizontal="center" vertical="center"/>
    </xf>
    <xf numFmtId="1" fontId="11" fillId="2" borderId="5" xfId="0" applyNumberFormat="1" applyFont="1" applyFill="1" applyBorder="1" applyAlignment="1">
      <alignment horizontal="center" vertical="center" wrapText="1"/>
    </xf>
    <xf numFmtId="0" fontId="39" fillId="11" borderId="23" xfId="0" applyFont="1" applyFill="1" applyBorder="1" applyAlignment="1">
      <alignment horizontal="center" vertical="center"/>
    </xf>
    <xf numFmtId="0" fontId="0" fillId="0" borderId="20" xfId="0" applyBorder="1" applyAlignment="1">
      <alignment horizontal="center" vertical="center" wrapText="1"/>
    </xf>
    <xf numFmtId="0" fontId="39" fillId="20" borderId="20" xfId="0" applyFont="1" applyFill="1" applyBorder="1" applyAlignment="1">
      <alignment vertical="center"/>
    </xf>
    <xf numFmtId="0" fontId="11" fillId="0" borderId="20" xfId="0" applyFont="1" applyBorder="1" applyAlignment="1">
      <alignment vertical="center"/>
    </xf>
    <xf numFmtId="0" fontId="0" fillId="0" borderId="20" xfId="0" applyBorder="1" applyAlignment="1">
      <alignment vertical="center"/>
    </xf>
    <xf numFmtId="0" fontId="39" fillId="9" borderId="20" xfId="0" applyFont="1" applyFill="1" applyBorder="1" applyAlignment="1">
      <alignment horizontal="center" vertical="center"/>
    </xf>
    <xf numFmtId="0" fontId="25" fillId="9" borderId="20" xfId="0" applyFont="1" applyFill="1" applyBorder="1" applyAlignment="1">
      <alignment horizontal="center" vertical="center"/>
    </xf>
    <xf numFmtId="0" fontId="8" fillId="0" borderId="24" xfId="0" applyFont="1" applyBorder="1"/>
    <xf numFmtId="0" fontId="42" fillId="11" borderId="20" xfId="0" applyFont="1" applyFill="1" applyBorder="1" applyAlignment="1">
      <alignment horizontal="center" vertical="center" wrapText="1"/>
    </xf>
    <xf numFmtId="0" fontId="44" fillId="11" borderId="20" xfId="0" applyFont="1" applyFill="1" applyBorder="1" applyAlignment="1">
      <alignment horizontal="center" vertical="center"/>
    </xf>
    <xf numFmtId="0" fontId="42" fillId="11" borderId="20" xfId="0" applyFont="1" applyFill="1" applyBorder="1" applyAlignment="1">
      <alignment horizontal="center" vertical="center"/>
    </xf>
    <xf numFmtId="0" fontId="42" fillId="11" borderId="27" xfId="0" applyFont="1" applyFill="1" applyBorder="1" applyAlignment="1">
      <alignment horizontal="center" vertical="center"/>
    </xf>
    <xf numFmtId="0" fontId="43" fillId="11" borderId="20" xfId="0" applyFont="1" applyFill="1" applyBorder="1" applyAlignment="1">
      <alignment horizontal="center" vertical="center"/>
    </xf>
    <xf numFmtId="0" fontId="44" fillId="20" borderId="22" xfId="0" applyFont="1" applyFill="1" applyBorder="1" applyAlignment="1">
      <alignment vertical="center"/>
    </xf>
    <xf numFmtId="0" fontId="44" fillId="20" borderId="23" xfId="0" applyFont="1" applyFill="1" applyBorder="1" applyAlignment="1">
      <alignment vertical="center"/>
    </xf>
    <xf numFmtId="0" fontId="42" fillId="20" borderId="27" xfId="0" applyFont="1" applyFill="1" applyBorder="1" applyAlignment="1">
      <alignment horizontal="center" vertical="center"/>
    </xf>
    <xf numFmtId="0" fontId="44" fillId="11" borderId="22" xfId="0" applyFont="1" applyFill="1" applyBorder="1" applyAlignment="1">
      <alignment vertical="center"/>
    </xf>
    <xf numFmtId="0" fontId="44" fillId="11" borderId="23" xfId="0" applyFont="1" applyFill="1" applyBorder="1" applyAlignment="1">
      <alignment vertical="center"/>
    </xf>
    <xf numFmtId="0" fontId="44" fillId="20" borderId="20" xfId="0" applyFont="1" applyFill="1" applyBorder="1" applyAlignment="1">
      <alignment vertical="center"/>
    </xf>
    <xf numFmtId="0" fontId="44" fillId="11" borderId="20" xfId="0" applyFont="1" applyFill="1" applyBorder="1" applyAlignment="1">
      <alignment vertical="center"/>
    </xf>
    <xf numFmtId="0" fontId="45" fillId="11" borderId="20" xfId="0" applyFont="1" applyFill="1" applyBorder="1" applyAlignment="1">
      <alignment horizontal="center" vertical="center" wrapText="1"/>
    </xf>
    <xf numFmtId="0" fontId="45" fillId="12" borderId="20" xfId="0" applyFont="1" applyFill="1" applyBorder="1" applyAlignment="1">
      <alignment horizontal="center" vertical="center" wrapText="1"/>
    </xf>
    <xf numFmtId="0" fontId="45" fillId="11" borderId="20" xfId="0" applyFont="1" applyFill="1" applyBorder="1" applyAlignment="1">
      <alignment horizontal="center" vertical="top" wrapText="1"/>
    </xf>
    <xf numFmtId="0" fontId="45" fillId="12" borderId="20" xfId="0" applyFont="1" applyFill="1" applyBorder="1" applyAlignment="1">
      <alignment horizontal="center" vertical="top" wrapText="1"/>
    </xf>
    <xf numFmtId="0" fontId="22" fillId="0" borderId="5" xfId="0" applyFont="1" applyBorder="1"/>
    <xf numFmtId="0" fontId="21" fillId="11" borderId="5" xfId="0" applyFont="1" applyFill="1" applyBorder="1" applyAlignment="1">
      <alignment wrapText="1"/>
    </xf>
    <xf numFmtId="0" fontId="14" fillId="0" borderId="5" xfId="0" applyFont="1" applyBorder="1"/>
    <xf numFmtId="0" fontId="41" fillId="0" borderId="5" xfId="0" applyFont="1" applyBorder="1"/>
    <xf numFmtId="0" fontId="48" fillId="11" borderId="5" xfId="0" applyFont="1" applyFill="1" applyBorder="1"/>
    <xf numFmtId="0" fontId="11" fillId="0" borderId="0" xfId="0" applyFont="1"/>
    <xf numFmtId="0" fontId="39" fillId="11" borderId="5" xfId="0" applyFont="1" applyFill="1" applyBorder="1" applyAlignment="1">
      <alignment horizontal="left" vertical="center"/>
    </xf>
    <xf numFmtId="0" fontId="39" fillId="11" borderId="20" xfId="0" applyFont="1" applyFill="1" applyBorder="1" applyAlignment="1">
      <alignment horizontal="left" vertical="center"/>
    </xf>
    <xf numFmtId="0" fontId="4" fillId="0" borderId="5" xfId="0" applyFont="1" applyBorder="1" applyAlignment="1">
      <alignment horizontal="center"/>
    </xf>
    <xf numFmtId="0" fontId="14" fillId="0" borderId="0" xfId="0" applyFont="1"/>
    <xf numFmtId="1" fontId="15" fillId="11" borderId="20" xfId="0" applyNumberFormat="1" applyFont="1" applyFill="1" applyBorder="1" applyAlignment="1">
      <alignment horizontal="center" vertical="center"/>
    </xf>
    <xf numFmtId="0" fontId="11" fillId="11" borderId="27" xfId="0" applyFont="1" applyFill="1" applyBorder="1" applyAlignment="1">
      <alignment horizontal="center" vertical="center"/>
    </xf>
    <xf numFmtId="1" fontId="11" fillId="11" borderId="27" xfId="0" applyNumberFormat="1" applyFont="1" applyFill="1" applyBorder="1" applyAlignment="1">
      <alignment horizontal="center" vertical="center"/>
    </xf>
    <xf numFmtId="0" fontId="42" fillId="11" borderId="5" xfId="0" applyFont="1" applyFill="1" applyBorder="1" applyAlignment="1">
      <alignment horizontal="center" vertical="center"/>
    </xf>
    <xf numFmtId="0" fontId="43" fillId="11" borderId="5" xfId="0" applyFont="1" applyFill="1" applyBorder="1" applyAlignment="1">
      <alignment horizontal="center" vertical="center"/>
    </xf>
    <xf numFmtId="0" fontId="42" fillId="11" borderId="5" xfId="0" applyFont="1" applyFill="1" applyBorder="1" applyAlignment="1">
      <alignment horizontal="center" vertical="center" wrapText="1"/>
    </xf>
    <xf numFmtId="0" fontId="12" fillId="11" borderId="5" xfId="0" applyFont="1" applyFill="1" applyBorder="1" applyAlignment="1">
      <alignment horizontal="center" vertical="center"/>
    </xf>
    <xf numFmtId="0" fontId="0" fillId="11" borderId="5" xfId="0" applyFill="1" applyBorder="1" applyAlignment="1">
      <alignment horizontal="center" vertical="center"/>
    </xf>
    <xf numFmtId="0" fontId="27" fillId="0" borderId="20" xfId="44" applyFont="1" applyBorder="1" applyAlignment="1">
      <alignment horizontal="center" vertical="center"/>
    </xf>
    <xf numFmtId="0" fontId="27" fillId="0" borderId="33" xfId="44" applyFont="1" applyBorder="1" applyAlignment="1">
      <alignment horizontal="center"/>
    </xf>
    <xf numFmtId="0" fontId="14" fillId="0" borderId="5" xfId="0" applyFont="1" applyBorder="1" applyAlignment="1">
      <alignment horizontal="center" wrapText="1"/>
    </xf>
    <xf numFmtId="0" fontId="11" fillId="0" borderId="20" xfId="0" applyFont="1" applyBorder="1"/>
    <xf numFmtId="0" fontId="11" fillId="0" borderId="20" xfId="0" applyFont="1" applyBorder="1" applyAlignment="1">
      <alignment horizontal="left"/>
    </xf>
    <xf numFmtId="0" fontId="11" fillId="0" borderId="29" xfId="0" applyFont="1" applyBorder="1"/>
    <xf numFmtId="0" fontId="14" fillId="0" borderId="33" xfId="0" applyFont="1" applyBorder="1"/>
    <xf numFmtId="0" fontId="14" fillId="0" borderId="33" xfId="0" applyFont="1" applyBorder="1" applyAlignment="1">
      <alignment horizontal="left" wrapText="1"/>
    </xf>
    <xf numFmtId="0" fontId="14" fillId="0" borderId="33" xfId="0" applyFont="1" applyBorder="1" applyAlignment="1">
      <alignment horizontal="left" vertical="center"/>
    </xf>
    <xf numFmtId="1" fontId="27" fillId="0" borderId="20" xfId="44" applyNumberFormat="1" applyFont="1" applyBorder="1" applyAlignment="1">
      <alignment horizontal="center" vertical="center"/>
    </xf>
    <xf numFmtId="1" fontId="27" fillId="0" borderId="20" xfId="44" applyNumberFormat="1" applyFont="1" applyBorder="1" applyAlignment="1">
      <alignment horizontal="center"/>
    </xf>
    <xf numFmtId="1" fontId="27" fillId="9" borderId="20" xfId="44" applyNumberFormat="1" applyFont="1" applyFill="1" applyBorder="1" applyAlignment="1">
      <alignment horizontal="center"/>
    </xf>
    <xf numFmtId="1" fontId="8" fillId="0" borderId="12" xfId="0" applyNumberFormat="1" applyFont="1" applyBorder="1"/>
    <xf numFmtId="0" fontId="45" fillId="9" borderId="5" xfId="0" applyFont="1" applyFill="1" applyBorder="1" applyAlignment="1">
      <alignment horizontal="center" vertical="center" wrapText="1"/>
    </xf>
    <xf numFmtId="9" fontId="4" fillId="0" borderId="25" xfId="49" applyFont="1" applyBorder="1" applyAlignment="1">
      <alignment horizontal="center"/>
    </xf>
    <xf numFmtId="1" fontId="4" fillId="0" borderId="19" xfId="0" applyNumberFormat="1" applyFont="1" applyBorder="1" applyAlignment="1">
      <alignment horizontal="center"/>
    </xf>
    <xf numFmtId="1" fontId="4" fillId="0" borderId="25" xfId="0" applyNumberFormat="1" applyFont="1" applyBorder="1" applyAlignment="1">
      <alignment horizontal="center"/>
    </xf>
    <xf numFmtId="9" fontId="0" fillId="0" borderId="37" xfId="49" applyFont="1" applyBorder="1" applyAlignment="1">
      <alignment horizontal="center"/>
    </xf>
    <xf numFmtId="1" fontId="0" fillId="0" borderId="19" xfId="49" applyNumberFormat="1" applyFont="1" applyBorder="1" applyAlignment="1">
      <alignment horizontal="center"/>
    </xf>
    <xf numFmtId="9" fontId="4" fillId="0" borderId="26" xfId="49" applyFont="1" applyBorder="1" applyAlignment="1">
      <alignment horizontal="center"/>
    </xf>
    <xf numFmtId="1" fontId="4" fillId="0" borderId="40" xfId="0" applyNumberFormat="1" applyFont="1" applyBorder="1" applyAlignment="1">
      <alignment horizontal="center"/>
    </xf>
    <xf numFmtId="1" fontId="4" fillId="0" borderId="26" xfId="0" applyNumberFormat="1" applyFont="1" applyBorder="1" applyAlignment="1">
      <alignment horizontal="center"/>
    </xf>
    <xf numFmtId="9" fontId="0" fillId="0" borderId="38" xfId="49" applyFont="1" applyBorder="1" applyAlignment="1">
      <alignment horizontal="center"/>
    </xf>
    <xf numFmtId="1" fontId="0" fillId="0" borderId="40" xfId="49" applyNumberFormat="1" applyFont="1" applyBorder="1" applyAlignment="1">
      <alignment horizontal="center"/>
    </xf>
    <xf numFmtId="0" fontId="14" fillId="0" borderId="20" xfId="0" applyFont="1" applyBorder="1"/>
    <xf numFmtId="0" fontId="14" fillId="9" borderId="5" xfId="0" applyFont="1" applyFill="1" applyBorder="1"/>
    <xf numFmtId="0" fontId="12" fillId="0" borderId="20" xfId="0" applyFont="1" applyBorder="1" applyAlignment="1">
      <alignment horizontal="center"/>
    </xf>
    <xf numFmtId="0" fontId="12" fillId="0" borderId="5" xfId="0" applyFont="1" applyBorder="1"/>
    <xf numFmtId="0" fontId="17" fillId="0" borderId="5" xfId="0" applyFont="1" applyBorder="1" applyAlignment="1">
      <alignment horizontal="center" vertical="center"/>
    </xf>
    <xf numFmtId="0" fontId="40" fillId="0" borderId="0" xfId="0" applyFont="1" applyAlignment="1">
      <alignment horizontal="center" vertical="center"/>
    </xf>
    <xf numFmtId="1" fontId="14" fillId="0" borderId="0" xfId="0" applyNumberFormat="1" applyFont="1" applyAlignment="1">
      <alignment horizontal="center" vertical="center"/>
    </xf>
    <xf numFmtId="0" fontId="11" fillId="0" borderId="5" xfId="1" applyNumberFormat="1" applyFont="1" applyBorder="1" applyAlignment="1">
      <alignment horizontal="center" vertical="center"/>
    </xf>
    <xf numFmtId="0" fontId="4" fillId="0" borderId="0" xfId="0" applyFont="1" applyAlignment="1">
      <alignment vertical="top"/>
    </xf>
    <xf numFmtId="1" fontId="0" fillId="0" borderId="5" xfId="0" applyNumberFormat="1" applyBorder="1"/>
    <xf numFmtId="0" fontId="0" fillId="0" borderId="20" xfId="0" applyBorder="1" applyAlignment="1">
      <alignment horizontal="right" wrapText="1"/>
    </xf>
    <xf numFmtId="0" fontId="0" fillId="0" borderId="20" xfId="0" applyBorder="1" applyAlignment="1">
      <alignment horizontal="right" vertical="center" wrapText="1"/>
    </xf>
    <xf numFmtId="0" fontId="11" fillId="0" borderId="20" xfId="0" applyFont="1" applyBorder="1" applyAlignment="1">
      <alignment horizontal="right" vertical="center" wrapText="1"/>
    </xf>
    <xf numFmtId="0" fontId="0" fillId="0" borderId="22" xfId="0" applyBorder="1" applyAlignment="1">
      <alignment horizontal="center" vertical="center"/>
    </xf>
    <xf numFmtId="0" fontId="15" fillId="21" borderId="29" xfId="0" applyFont="1" applyFill="1" applyBorder="1" applyAlignment="1">
      <alignment horizontal="right" vertical="center"/>
    </xf>
    <xf numFmtId="0" fontId="15" fillId="11" borderId="28" xfId="0" applyFont="1" applyFill="1" applyBorder="1" applyAlignment="1">
      <alignment horizontal="right" vertical="center"/>
    </xf>
    <xf numFmtId="0" fontId="15" fillId="21" borderId="20" xfId="0" applyFont="1" applyFill="1" applyBorder="1" applyAlignment="1">
      <alignment horizontal="right" vertical="center"/>
    </xf>
    <xf numFmtId="0" fontId="15" fillId="18" borderId="20" xfId="0" applyFont="1" applyFill="1" applyBorder="1" applyAlignment="1">
      <alignment horizontal="right" vertical="center"/>
    </xf>
    <xf numFmtId="0" fontId="21" fillId="11" borderId="5" xfId="0" applyFont="1" applyFill="1" applyBorder="1" applyAlignment="1">
      <alignment horizontal="center" vertical="center"/>
    </xf>
    <xf numFmtId="0" fontId="8" fillId="11" borderId="5" xfId="0" applyFont="1" applyFill="1" applyBorder="1" applyAlignment="1">
      <alignment horizontal="center" vertical="center"/>
    </xf>
    <xf numFmtId="0" fontId="15" fillId="11" borderId="20" xfId="0" applyFont="1" applyFill="1" applyBorder="1" applyAlignment="1">
      <alignment horizontal="right" vertical="center"/>
    </xf>
    <xf numFmtId="0" fontId="11" fillId="0" borderId="0" xfId="0" applyFont="1" applyAlignment="1">
      <alignment horizontal="center" vertical="center"/>
    </xf>
    <xf numFmtId="0" fontId="21" fillId="20" borderId="5" xfId="0" applyFont="1" applyFill="1" applyBorder="1" applyAlignment="1">
      <alignment horizontal="center" vertical="center"/>
    </xf>
    <xf numFmtId="0" fontId="15" fillId="21" borderId="5" xfId="0" applyFont="1" applyFill="1" applyBorder="1" applyAlignment="1">
      <alignment horizontal="center" vertical="center"/>
    </xf>
    <xf numFmtId="1" fontId="25" fillId="9" borderId="20" xfId="0" applyNumberFormat="1" applyFont="1" applyFill="1" applyBorder="1" applyAlignment="1">
      <alignment horizontal="center" vertical="center"/>
    </xf>
    <xf numFmtId="0" fontId="0" fillId="0" borderId="0" xfId="0" applyAlignment="1">
      <alignment horizontal="center" vertical="center" wrapText="1"/>
    </xf>
    <xf numFmtId="0" fontId="11" fillId="0" borderId="5" xfId="0" applyFont="1" applyBorder="1" applyAlignment="1">
      <alignment horizontal="center" vertical="center"/>
    </xf>
    <xf numFmtId="0" fontId="0" fillId="0" borderId="27" xfId="0" applyBorder="1" applyAlignment="1">
      <alignment horizontal="center" vertical="center" wrapText="1"/>
    </xf>
    <xf numFmtId="0" fontId="0" fillId="0" borderId="29" xfId="0" applyBorder="1" applyAlignment="1">
      <alignment horizontal="center" vertical="center"/>
    </xf>
    <xf numFmtId="0" fontId="0" fillId="0" borderId="29" xfId="0" applyBorder="1" applyAlignment="1">
      <alignment horizontal="center" vertical="center" wrapText="1"/>
    </xf>
    <xf numFmtId="0" fontId="11" fillId="0" borderId="0" xfId="0" applyFont="1" applyAlignment="1">
      <alignment horizontal="center" vertical="center" wrapText="1"/>
    </xf>
    <xf numFmtId="0" fontId="0" fillId="9" borderId="0" xfId="0" applyFill="1" applyAlignment="1">
      <alignment horizontal="center" vertical="center"/>
    </xf>
    <xf numFmtId="0" fontId="0" fillId="9" borderId="0" xfId="0" applyFill="1" applyAlignment="1">
      <alignment horizontal="center" vertical="center" wrapText="1"/>
    </xf>
    <xf numFmtId="0" fontId="15" fillId="11" borderId="28" xfId="0" applyFont="1" applyFill="1" applyBorder="1" applyAlignment="1">
      <alignment horizontal="center" vertical="center"/>
    </xf>
    <xf numFmtId="0" fontId="15" fillId="21" borderId="29" xfId="0" applyFont="1" applyFill="1" applyBorder="1" applyAlignment="1">
      <alignment horizontal="center" vertical="center"/>
    </xf>
    <xf numFmtId="0" fontId="15" fillId="18" borderId="20" xfId="0" applyFont="1" applyFill="1" applyBorder="1" applyAlignment="1">
      <alignment horizontal="center" vertical="center"/>
    </xf>
    <xf numFmtId="0" fontId="15" fillId="21" borderId="20" xfId="0" applyFont="1" applyFill="1" applyBorder="1" applyAlignment="1">
      <alignment horizontal="center" vertical="center"/>
    </xf>
    <xf numFmtId="0" fontId="15" fillId="11" borderId="21" xfId="0" applyFont="1" applyFill="1" applyBorder="1" applyAlignment="1">
      <alignment horizontal="center" vertical="center"/>
    </xf>
    <xf numFmtId="0" fontId="0" fillId="9" borderId="20" xfId="0" applyFill="1" applyBorder="1" applyAlignment="1">
      <alignment horizontal="center" vertical="center" wrapText="1"/>
    </xf>
    <xf numFmtId="0" fontId="0" fillId="0" borderId="27" xfId="0" applyBorder="1" applyAlignment="1">
      <alignment horizontal="center" vertical="center"/>
    </xf>
    <xf numFmtId="0" fontId="11" fillId="0" borderId="27" xfId="0" applyFont="1" applyBorder="1" applyAlignment="1">
      <alignment horizontal="center" vertical="center" wrapText="1"/>
    </xf>
    <xf numFmtId="1" fontId="14" fillId="9" borderId="20" xfId="0" applyNumberFormat="1" applyFont="1" applyFill="1" applyBorder="1" applyAlignment="1">
      <alignment horizontal="center" vertical="center"/>
    </xf>
    <xf numFmtId="0" fontId="15" fillId="18" borderId="29" xfId="0" applyFont="1" applyFill="1" applyBorder="1" applyAlignment="1">
      <alignment horizontal="right" vertical="center"/>
    </xf>
    <xf numFmtId="0" fontId="3" fillId="0" borderId="24" xfId="0" applyFont="1" applyBorder="1" applyAlignment="1">
      <alignment horizontal="center" vertical="center"/>
    </xf>
    <xf numFmtId="0" fontId="3" fillId="0" borderId="26" xfId="0" applyFont="1" applyBorder="1" applyAlignment="1">
      <alignment horizontal="center" vertical="center"/>
    </xf>
    <xf numFmtId="1" fontId="0" fillId="0" borderId="20" xfId="0" applyNumberFormat="1" applyBorder="1" applyAlignment="1">
      <alignment vertical="center"/>
    </xf>
    <xf numFmtId="1" fontId="17" fillId="0" borderId="20" xfId="0" applyNumberFormat="1" applyFont="1" applyBorder="1" applyAlignment="1">
      <alignment horizontal="center" vertical="center"/>
    </xf>
    <xf numFmtId="1" fontId="8" fillId="11" borderId="5" xfId="0" applyNumberFormat="1" applyFont="1" applyFill="1" applyBorder="1" applyAlignment="1">
      <alignment horizontal="center" vertical="center"/>
    </xf>
    <xf numFmtId="1" fontId="8" fillId="11" borderId="54" xfId="0" applyNumberFormat="1" applyFont="1" applyFill="1" applyBorder="1" applyAlignment="1">
      <alignment horizontal="center" vertical="center"/>
    </xf>
    <xf numFmtId="0" fontId="3" fillId="0" borderId="20" xfId="0" applyFont="1" applyBorder="1" applyAlignment="1">
      <alignment horizontal="center" vertical="center"/>
    </xf>
    <xf numFmtId="0" fontId="14" fillId="13" borderId="24" xfId="0" applyFont="1" applyFill="1" applyBorder="1" applyAlignment="1">
      <alignment horizontal="center" vertical="center" wrapText="1"/>
    </xf>
    <xf numFmtId="0" fontId="36" fillId="24" borderId="30" xfId="0" applyFont="1" applyFill="1" applyBorder="1" applyAlignment="1">
      <alignment horizontal="center" vertical="center"/>
    </xf>
    <xf numFmtId="0" fontId="36" fillId="24" borderId="31" xfId="0" applyFont="1" applyFill="1" applyBorder="1" applyAlignment="1">
      <alignment horizontal="center" vertical="center"/>
    </xf>
    <xf numFmtId="0" fontId="36" fillId="23" borderId="30" xfId="0" applyFont="1" applyFill="1" applyBorder="1" applyAlignment="1">
      <alignment horizontal="center" vertical="center"/>
    </xf>
    <xf numFmtId="0" fontId="36" fillId="23" borderId="31" xfId="0" applyFont="1" applyFill="1" applyBorder="1" applyAlignment="1">
      <alignment horizontal="center" vertical="center"/>
    </xf>
    <xf numFmtId="0" fontId="36" fillId="25" borderId="30" xfId="0" applyFont="1" applyFill="1" applyBorder="1" applyAlignment="1">
      <alignment horizontal="center" vertical="center"/>
    </xf>
    <xf numFmtId="0" fontId="36" fillId="25" borderId="31" xfId="0" applyFont="1" applyFill="1" applyBorder="1" applyAlignment="1">
      <alignment horizontal="center" vertical="center"/>
    </xf>
    <xf numFmtId="0" fontId="36" fillId="25" borderId="32" xfId="0" applyFont="1" applyFill="1" applyBorder="1" applyAlignment="1">
      <alignment horizontal="center" vertical="center"/>
    </xf>
    <xf numFmtId="1" fontId="11" fillId="0" borderId="30" xfId="0" applyNumberFormat="1" applyFont="1" applyBorder="1" applyAlignment="1">
      <alignment horizontal="center" vertical="center" wrapText="1"/>
    </xf>
    <xf numFmtId="1" fontId="0" fillId="0" borderId="31" xfId="0" applyNumberFormat="1" applyBorder="1" applyAlignment="1">
      <alignment horizontal="center" vertical="center" wrapText="1"/>
    </xf>
    <xf numFmtId="1" fontId="0" fillId="0" borderId="32" xfId="0" applyNumberFormat="1" applyBorder="1" applyAlignment="1">
      <alignment horizontal="center" vertical="center" wrapText="1"/>
    </xf>
    <xf numFmtId="1" fontId="0" fillId="0" borderId="30" xfId="0" applyNumberFormat="1" applyBorder="1" applyAlignment="1">
      <alignment horizontal="center" vertical="center" wrapText="1"/>
    </xf>
    <xf numFmtId="0" fontId="28" fillId="0" borderId="39" xfId="44" applyFont="1" applyBorder="1" applyAlignment="1">
      <alignment horizontal="center" wrapText="1"/>
    </xf>
    <xf numFmtId="0" fontId="35" fillId="16" borderId="30" xfId="0" applyFont="1" applyFill="1" applyBorder="1" applyAlignment="1">
      <alignment horizontal="center" vertical="center"/>
    </xf>
    <xf numFmtId="0" fontId="35" fillId="16" borderId="31" xfId="0" applyFont="1" applyFill="1" applyBorder="1" applyAlignment="1">
      <alignment horizontal="center" vertical="center"/>
    </xf>
    <xf numFmtId="0" fontId="35" fillId="16" borderId="32" xfId="0" applyFont="1" applyFill="1" applyBorder="1" applyAlignment="1">
      <alignment horizontal="center" vertical="center"/>
    </xf>
    <xf numFmtId="0" fontId="14" fillId="0" borderId="5" xfId="0" applyFont="1" applyBorder="1" applyAlignment="1">
      <alignment vertical="center"/>
    </xf>
    <xf numFmtId="0" fontId="35" fillId="22" borderId="30" xfId="0" applyFont="1" applyFill="1" applyBorder="1" applyAlignment="1">
      <alignment horizontal="center" vertical="center"/>
    </xf>
    <xf numFmtId="0" fontId="35" fillId="22" borderId="31" xfId="0" applyFont="1" applyFill="1" applyBorder="1" applyAlignment="1">
      <alignment horizontal="center" vertical="center"/>
    </xf>
    <xf numFmtId="0" fontId="37" fillId="0" borderId="30" xfId="0" applyFont="1" applyBorder="1" applyAlignment="1">
      <alignment horizontal="center"/>
    </xf>
    <xf numFmtId="0" fontId="37" fillId="0" borderId="32" xfId="0" applyFont="1" applyBorder="1" applyAlignment="1">
      <alignment horizontal="center"/>
    </xf>
    <xf numFmtId="0" fontId="0" fillId="0" borderId="17" xfId="0" applyBorder="1" applyAlignment="1">
      <alignment horizontal="center"/>
    </xf>
    <xf numFmtId="0" fontId="11" fillId="0" borderId="36" xfId="0" applyFont="1" applyBorder="1" applyAlignment="1">
      <alignment horizontal="center"/>
    </xf>
    <xf numFmtId="0" fontId="11" fillId="0" borderId="19" xfId="0" applyFont="1" applyBorder="1" applyAlignment="1">
      <alignment horizontal="center"/>
    </xf>
    <xf numFmtId="0" fontId="11" fillId="0" borderId="37" xfId="0" applyFont="1" applyBorder="1" applyAlignment="1">
      <alignment horizontal="center"/>
    </xf>
    <xf numFmtId="0" fontId="11" fillId="0" borderId="40" xfId="0" applyFont="1" applyBorder="1" applyAlignment="1">
      <alignment horizontal="center"/>
    </xf>
    <xf numFmtId="0" fontId="11" fillId="0" borderId="38" xfId="0" applyFont="1" applyBorder="1" applyAlignment="1">
      <alignment horizontal="center"/>
    </xf>
    <xf numFmtId="0" fontId="14" fillId="0" borderId="39" xfId="0" applyFont="1" applyBorder="1" applyAlignment="1">
      <alignment horizontal="center"/>
    </xf>
    <xf numFmtId="0" fontId="14" fillId="0" borderId="5" xfId="0" applyFont="1" applyBorder="1" applyAlignment="1">
      <alignment horizontal="center"/>
    </xf>
    <xf numFmtId="0" fontId="50" fillId="0" borderId="30" xfId="0" applyFont="1" applyBorder="1" applyAlignment="1">
      <alignment horizontal="left" vertical="center" wrapText="1"/>
    </xf>
    <xf numFmtId="0" fontId="50" fillId="0" borderId="31" xfId="0" applyFont="1" applyBorder="1" applyAlignment="1">
      <alignment horizontal="left" vertical="center" wrapText="1"/>
    </xf>
    <xf numFmtId="0" fontId="50" fillId="0" borderId="32" xfId="0" applyFont="1" applyBorder="1" applyAlignment="1">
      <alignment horizontal="left" vertical="center" wrapText="1"/>
    </xf>
    <xf numFmtId="0" fontId="14" fillId="0" borderId="30" xfId="0" applyFont="1" applyBorder="1" applyAlignment="1">
      <alignment horizontal="center" vertical="center"/>
    </xf>
    <xf numFmtId="0" fontId="14" fillId="0" borderId="31" xfId="0" applyFont="1" applyBorder="1" applyAlignment="1">
      <alignment horizontal="center" vertical="center"/>
    </xf>
    <xf numFmtId="1" fontId="11" fillId="0" borderId="30" xfId="0" applyNumberFormat="1" applyFont="1" applyBorder="1" applyAlignment="1">
      <alignment horizontal="center" vertical="center" wrapText="1" shrinkToFit="1"/>
    </xf>
    <xf numFmtId="1" fontId="0" fillId="0" borderId="31" xfId="0" applyNumberFormat="1" applyBorder="1" applyAlignment="1">
      <alignment horizontal="center" vertical="center" wrapText="1" shrinkToFit="1"/>
    </xf>
    <xf numFmtId="1" fontId="0" fillId="0" borderId="32" xfId="0" applyNumberFormat="1" applyBorder="1" applyAlignment="1">
      <alignment horizontal="center" vertical="center" wrapText="1" shrinkToFit="1"/>
    </xf>
    <xf numFmtId="1" fontId="0" fillId="0" borderId="30" xfId="0" applyNumberFormat="1" applyBorder="1" applyAlignment="1">
      <alignment horizontal="center" vertical="center"/>
    </xf>
    <xf numFmtId="1" fontId="0" fillId="0" borderId="31" xfId="0" applyNumberFormat="1" applyBorder="1" applyAlignment="1">
      <alignment horizontal="center" vertical="center"/>
    </xf>
    <xf numFmtId="1" fontId="0" fillId="0" borderId="32" xfId="0" applyNumberFormat="1" applyBorder="1" applyAlignment="1">
      <alignment horizontal="center" vertical="center"/>
    </xf>
    <xf numFmtId="0" fontId="11" fillId="0" borderId="5" xfId="0" applyFont="1" applyBorder="1" applyAlignment="1">
      <alignment vertical="center"/>
    </xf>
    <xf numFmtId="0" fontId="11" fillId="0" borderId="5" xfId="0" applyFont="1" applyBorder="1" applyAlignment="1">
      <alignment horizontal="center" vertical="center"/>
    </xf>
    <xf numFmtId="0" fontId="0" fillId="0" borderId="5" xfId="0" applyBorder="1" applyAlignment="1">
      <alignment horizontal="center" vertical="center"/>
    </xf>
    <xf numFmtId="0" fontId="39" fillId="0" borderId="5" xfId="0" applyFont="1" applyBorder="1" applyAlignment="1">
      <alignment horizontal="left" vertical="center"/>
    </xf>
    <xf numFmtId="0" fontId="39" fillId="0" borderId="5" xfId="0" applyFont="1" applyBorder="1" applyAlignment="1">
      <alignment horizontal="left" vertical="top"/>
    </xf>
    <xf numFmtId="0" fontId="45" fillId="11" borderId="20" xfId="0" applyFont="1" applyFill="1" applyBorder="1" applyAlignment="1">
      <alignment horizontal="center" vertical="center"/>
    </xf>
    <xf numFmtId="0" fontId="46" fillId="11" borderId="20" xfId="0" applyFont="1" applyFill="1" applyBorder="1" applyAlignment="1">
      <alignment horizontal="center" vertical="center"/>
    </xf>
    <xf numFmtId="0" fontId="45" fillId="11" borderId="20" xfId="0" applyFont="1" applyFill="1" applyBorder="1" applyAlignment="1">
      <alignment horizontal="center" vertical="center" wrapText="1"/>
    </xf>
    <xf numFmtId="0" fontId="47" fillId="11" borderId="20" xfId="0" applyFont="1" applyFill="1" applyBorder="1" applyAlignment="1">
      <alignment horizontal="center" vertical="center" wrapText="1"/>
    </xf>
    <xf numFmtId="0" fontId="0" fillId="11" borderId="20" xfId="0" applyFill="1" applyBorder="1" applyAlignment="1">
      <alignment horizontal="center" vertical="center"/>
    </xf>
    <xf numFmtId="0" fontId="11" fillId="0" borderId="20"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42" fillId="11" borderId="22" xfId="0" applyFont="1" applyFill="1" applyBorder="1" applyAlignment="1">
      <alignment horizontal="center" vertical="center"/>
    </xf>
    <xf numFmtId="0" fontId="42" fillId="11" borderId="23" xfId="0" applyFont="1" applyFill="1" applyBorder="1" applyAlignment="1">
      <alignment horizontal="center" vertical="center"/>
    </xf>
    <xf numFmtId="0" fontId="42" fillId="11" borderId="20" xfId="0" applyFont="1" applyFill="1" applyBorder="1" applyAlignment="1">
      <alignment horizontal="center" vertical="center"/>
    </xf>
    <xf numFmtId="0" fontId="44" fillId="11" borderId="22" xfId="0" applyFont="1" applyFill="1" applyBorder="1" applyAlignment="1">
      <alignment horizontal="left" vertical="center"/>
    </xf>
    <xf numFmtId="0" fontId="44" fillId="11" borderId="23" xfId="0" applyFont="1" applyFill="1" applyBorder="1" applyAlignment="1">
      <alignment horizontal="left"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20" fillId="13" borderId="24" xfId="0" applyFont="1" applyFill="1" applyBorder="1" applyAlignment="1">
      <alignment horizontal="center" vertical="center" wrapText="1"/>
    </xf>
    <xf numFmtId="0" fontId="20" fillId="13" borderId="26"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6" xfId="0" applyFont="1" applyFill="1" applyBorder="1" applyAlignment="1">
      <alignment horizontal="center" vertical="center" wrapText="1"/>
    </xf>
    <xf numFmtId="0" fontId="3" fillId="0" borderId="24" xfId="0" applyFont="1" applyBorder="1" applyAlignment="1">
      <alignment horizontal="center" vertical="center" wrapText="1"/>
    </xf>
    <xf numFmtId="0" fontId="3" fillId="0" borderId="26" xfId="0" applyFont="1" applyBorder="1" applyAlignment="1">
      <alignment horizontal="center" vertical="center" wrapText="1"/>
    </xf>
    <xf numFmtId="0" fontId="39" fillId="9" borderId="22" xfId="0" applyFont="1" applyFill="1" applyBorder="1" applyAlignment="1">
      <alignment horizontal="left" vertical="center"/>
    </xf>
    <xf numFmtId="0" fontId="39" fillId="9" borderId="23" xfId="0" applyFont="1" applyFill="1" applyBorder="1" applyAlignment="1">
      <alignment horizontal="left" vertical="center"/>
    </xf>
    <xf numFmtId="0" fontId="3" fillId="0" borderId="25" xfId="0" applyFont="1" applyBorder="1" applyAlignment="1">
      <alignment horizontal="center" vertical="center" wrapText="1"/>
    </xf>
    <xf numFmtId="0" fontId="39" fillId="11" borderId="5" xfId="0" applyFont="1" applyFill="1" applyBorder="1" applyAlignment="1">
      <alignment horizontal="left" vertical="center"/>
    </xf>
    <xf numFmtId="0" fontId="25" fillId="0" borderId="30" xfId="0" applyFont="1" applyBorder="1" applyAlignment="1">
      <alignment horizontal="center" vertical="center" wrapText="1"/>
    </xf>
    <xf numFmtId="0" fontId="25" fillId="0" borderId="31" xfId="0" applyFont="1" applyBorder="1" applyAlignment="1">
      <alignment horizontal="center" vertical="center" wrapText="1"/>
    </xf>
    <xf numFmtId="0" fontId="25" fillId="0" borderId="32" xfId="0" applyFont="1" applyBorder="1" applyAlignment="1">
      <alignment horizontal="center" vertical="center" wrapText="1"/>
    </xf>
    <xf numFmtId="0" fontId="25" fillId="3" borderId="30" xfId="0"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0" fillId="12" borderId="24" xfId="0" applyFont="1" applyFill="1" applyBorder="1" applyAlignment="1">
      <alignment horizontal="center" vertical="center" wrapText="1"/>
    </xf>
    <xf numFmtId="0" fontId="20" fillId="12" borderId="26" xfId="0" applyFont="1" applyFill="1" applyBorder="1" applyAlignment="1">
      <alignment horizontal="center" vertical="center" wrapText="1"/>
    </xf>
    <xf numFmtId="0" fontId="3" fillId="14" borderId="24" xfId="0" applyFont="1" applyFill="1" applyBorder="1" applyAlignment="1">
      <alignment horizontal="center" vertical="center" wrapText="1"/>
    </xf>
    <xf numFmtId="0" fontId="3" fillId="14" borderId="26" xfId="0" applyFont="1" applyFill="1" applyBorder="1" applyAlignment="1">
      <alignment horizontal="center" vertical="center" wrapText="1"/>
    </xf>
    <xf numFmtId="0" fontId="49" fillId="0" borderId="39" xfId="0" applyFont="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3" fillId="6" borderId="13"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7" borderId="14" xfId="0" applyFont="1" applyFill="1" applyBorder="1" applyAlignment="1">
      <alignment horizontal="center" vertical="center" wrapText="1"/>
    </xf>
    <xf numFmtId="0" fontId="35" fillId="17" borderId="30" xfId="0" applyFont="1" applyFill="1" applyBorder="1" applyAlignment="1">
      <alignment horizontal="center" vertical="center"/>
    </xf>
    <xf numFmtId="0" fontId="35" fillId="17" borderId="31" xfId="0" applyFont="1" applyFill="1" applyBorder="1" applyAlignment="1">
      <alignment horizontal="center" vertical="center"/>
    </xf>
    <xf numFmtId="0" fontId="35" fillId="17" borderId="32" xfId="0" applyFont="1" applyFill="1" applyBorder="1" applyAlignment="1">
      <alignment horizontal="center" vertical="center"/>
    </xf>
    <xf numFmtId="0" fontId="36" fillId="15" borderId="30" xfId="0" applyFont="1" applyFill="1" applyBorder="1" applyAlignment="1">
      <alignment horizontal="center" vertical="center"/>
    </xf>
    <xf numFmtId="0" fontId="36" fillId="15" borderId="31" xfId="0" applyFont="1" applyFill="1" applyBorder="1" applyAlignment="1">
      <alignment horizontal="center" vertical="center"/>
    </xf>
    <xf numFmtId="0" fontId="36" fillId="15" borderId="32" xfId="0" applyFont="1" applyFill="1" applyBorder="1" applyAlignment="1">
      <alignment horizontal="center" vertical="center"/>
    </xf>
    <xf numFmtId="0" fontId="0" fillId="0" borderId="20" xfId="0" applyBorder="1" applyAlignment="1">
      <alignment horizontal="center" vertical="center"/>
    </xf>
    <xf numFmtId="0" fontId="25" fillId="0" borderId="17" xfId="48" applyFont="1" applyBorder="1" applyAlignment="1">
      <alignment horizontal="center" vertical="center" wrapText="1"/>
    </xf>
    <xf numFmtId="0" fontId="25" fillId="0" borderId="18" xfId="48" applyFont="1" applyBorder="1" applyAlignment="1">
      <alignment horizontal="center" vertical="center" wrapText="1"/>
    </xf>
    <xf numFmtId="0" fontId="25" fillId="0" borderId="36" xfId="48" applyFont="1" applyBorder="1" applyAlignment="1">
      <alignment horizontal="center" vertical="center" wrapText="1"/>
    </xf>
    <xf numFmtId="0" fontId="25" fillId="13" borderId="17" xfId="48" applyFont="1" applyFill="1" applyBorder="1" applyAlignment="1">
      <alignment horizontal="center" vertical="center" wrapText="1"/>
    </xf>
    <xf numFmtId="0" fontId="25" fillId="13" borderId="18" xfId="48" applyFont="1" applyFill="1" applyBorder="1" applyAlignment="1">
      <alignment horizontal="center" vertical="center" wrapText="1"/>
    </xf>
    <xf numFmtId="0" fontId="25" fillId="13" borderId="36" xfId="48" applyFont="1" applyFill="1" applyBorder="1" applyAlignment="1">
      <alignment horizontal="center" vertical="center" wrapText="1"/>
    </xf>
    <xf numFmtId="0" fontId="3" fillId="0" borderId="24" xfId="48" applyFont="1" applyBorder="1" applyAlignment="1">
      <alignment horizontal="center" vertical="center"/>
    </xf>
    <xf numFmtId="0" fontId="3" fillId="0" borderId="26" xfId="48" applyFont="1" applyBorder="1" applyAlignment="1">
      <alignment horizontal="center" vertical="center"/>
    </xf>
    <xf numFmtId="0" fontId="20" fillId="13" borderId="24" xfId="48" applyFont="1" applyFill="1" applyBorder="1" applyAlignment="1">
      <alignment horizontal="center" vertical="center"/>
    </xf>
    <xf numFmtId="0" fontId="20" fillId="13" borderId="26" xfId="48" applyFont="1" applyFill="1" applyBorder="1" applyAlignment="1">
      <alignment horizontal="center" vertical="center"/>
    </xf>
    <xf numFmtId="0" fontId="3" fillId="0" borderId="24" xfId="48" applyFont="1" applyBorder="1" applyAlignment="1">
      <alignment horizontal="center" vertical="center" wrapText="1"/>
    </xf>
    <xf numFmtId="0" fontId="3" fillId="0" borderId="26" xfId="48" applyFont="1" applyBorder="1" applyAlignment="1">
      <alignment horizontal="center" vertical="center" wrapText="1"/>
    </xf>
    <xf numFmtId="0" fontId="3" fillId="13" borderId="24" xfId="48" applyFont="1" applyFill="1" applyBorder="1" applyAlignment="1">
      <alignment horizontal="center" vertical="center" wrapText="1"/>
    </xf>
    <xf numFmtId="0" fontId="3" fillId="13" borderId="26" xfId="48" applyFont="1" applyFill="1" applyBorder="1" applyAlignment="1">
      <alignment horizontal="center" vertical="center" wrapText="1"/>
    </xf>
  </cellXfs>
  <cellStyles count="282">
    <cellStyle name="20% - Accent1 2" xfId="259" xr:uid="{74B5EA25-56EB-4292-91C6-F3C483621858}"/>
    <cellStyle name="20% - Accent2 2" xfId="263" xr:uid="{291B2484-A01D-487D-9658-0F11AE088319}"/>
    <cellStyle name="20% - Accent3 2" xfId="267" xr:uid="{55CA3D3C-9464-47C8-B892-3A2914632AB2}"/>
    <cellStyle name="20% - Accent4 2" xfId="271" xr:uid="{70040E0E-4967-42C3-9F85-2B8234EA434C}"/>
    <cellStyle name="20% - Accent5 2" xfId="275" xr:uid="{F1E50BE2-28F4-4E9D-B209-196BE7131DCE}"/>
    <cellStyle name="20% - Accent6 2" xfId="279" xr:uid="{2E5B41CD-B1A2-439B-8A4F-CD3C6F18B6BE}"/>
    <cellStyle name="40% - Accent1 2" xfId="260" xr:uid="{4E54500D-60A5-454C-AB1D-CF1058E8BF24}"/>
    <cellStyle name="40% - Accent2 2" xfId="264" xr:uid="{37CA55E1-0494-4FBA-BAB2-4D2F73A4A730}"/>
    <cellStyle name="40% - Accent3 2" xfId="268" xr:uid="{0F1DDB70-695D-467D-BF61-8708D8664FDC}"/>
    <cellStyle name="40% - Accent4 2" xfId="272" xr:uid="{11B9E2F0-EE6A-47F8-B221-C90322E5C2D2}"/>
    <cellStyle name="40% - Accent5 2" xfId="276" xr:uid="{789A77E1-564B-4C31-B4A2-D73E6AEBAC0A}"/>
    <cellStyle name="40% - Accent6 2" xfId="280" xr:uid="{3209A735-94AA-426F-A224-3462657699EE}"/>
    <cellStyle name="60% - Accent1 2" xfId="261" xr:uid="{E18B76A2-C9C6-4B7A-A011-C7BEC27EE795}"/>
    <cellStyle name="60% - Accent2 2" xfId="265" xr:uid="{3D38EF33-3CE5-4D74-AF52-844FFC22D67B}"/>
    <cellStyle name="60% - Accent3 2" xfId="269" xr:uid="{D131A190-1EC1-4719-A1B0-3633A78A175D}"/>
    <cellStyle name="60% - Accent4 2" xfId="273" xr:uid="{C228D820-0D70-4B2A-B3CB-1A955A224112}"/>
    <cellStyle name="60% - Accent5 2" xfId="277" xr:uid="{786D1F00-CB95-45C0-A9A4-40C0C6F7559A}"/>
    <cellStyle name="60% - Accent6 2" xfId="281" xr:uid="{9B456DE3-7C1D-44ED-B39C-D888F5F72BE3}"/>
    <cellStyle name="Accent1 2" xfId="258" xr:uid="{D92BC996-3361-4F6A-832D-3BB695F9EAA4}"/>
    <cellStyle name="Accent2 2" xfId="262" xr:uid="{89B8E185-9CEB-4828-B163-60DC1A9E9684}"/>
    <cellStyle name="Accent3 2" xfId="266" xr:uid="{D84A60E1-42D2-438D-9882-BE7727E4E5EE}"/>
    <cellStyle name="Accent4 2" xfId="270" xr:uid="{FB9C42D6-7824-444E-9133-1A548E431B0E}"/>
    <cellStyle name="Accent5 2" xfId="274" xr:uid="{93A85E23-FE99-4992-BCC4-EB318A703099}"/>
    <cellStyle name="Accent6 2" xfId="278" xr:uid="{3EF060A0-56CD-492D-AC44-7A68F5F2E5D2}"/>
    <cellStyle name="Bad 2" xfId="253" xr:uid="{EBB34A04-F4D5-4388-AD9D-45EC5811195F}"/>
    <cellStyle name="Calculation" xfId="245" builtinId="22" customBuiltin="1"/>
    <cellStyle name="Check Cell" xfId="247" builtinId="23" customBuiltin="1"/>
    <cellStyle name="Comma 4" xfId="45" xr:uid="{00000000-0005-0000-0000-000000000000}"/>
    <cellStyle name="Explanatory Text 2" xfId="257" xr:uid="{8B5F1F18-70D9-40EB-AC03-EE63D4B634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Good 2" xfId="252" xr:uid="{3DB6D83A-B621-4F87-9C47-40005919494E}"/>
    <cellStyle name="Heading 1" xfId="240" builtinId="16" customBuiltin="1"/>
    <cellStyle name="Heading 2" xfId="241" builtinId="17" customBuiltin="1"/>
    <cellStyle name="Heading 3" xfId="242" builtinId="18" customBuiltin="1"/>
    <cellStyle name="Heading 4 2" xfId="251" xr:uid="{52390418-BBEB-423D-B2C4-5F00C170F8DA}"/>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Input" xfId="243" builtinId="20" customBuiltin="1"/>
    <cellStyle name="Linked Cell" xfId="246" builtinId="24" customBuiltin="1"/>
    <cellStyle name="Neutral 2" xfId="254" xr:uid="{E2B29CC0-3DF3-4351-B417-F1C93FBA9903}"/>
    <cellStyle name="Normal" xfId="0" builtinId="0"/>
    <cellStyle name="Normal 2" xfId="47" xr:uid="{00000000-0005-0000-0000-0000EA000000}"/>
    <cellStyle name="Normal 3" xfId="48" xr:uid="{00000000-0005-0000-0000-0000EB000000}"/>
    <cellStyle name="Normal 4" xfId="44" xr:uid="{00000000-0005-0000-0000-0000EC000000}"/>
    <cellStyle name="Normal 5" xfId="249" xr:uid="{12459033-2230-4CA6-9CB2-59E50FE60146}"/>
    <cellStyle name="Note 2" xfId="256" xr:uid="{7DB1CD3D-4ED7-4FC1-A189-1EAF52150D0A}"/>
    <cellStyle name="Output" xfId="244" builtinId="21" customBuiltin="1"/>
    <cellStyle name="Percent" xfId="1" builtinId="5"/>
    <cellStyle name="Percent 2" xfId="46" xr:uid="{00000000-0005-0000-0000-0000EE000000}"/>
    <cellStyle name="Percent 3" xfId="49" xr:uid="{00000000-0005-0000-0000-0000EF000000}"/>
    <cellStyle name="Title 2" xfId="250" xr:uid="{CCF3D03D-AFA3-44D7-A16E-BE07915D2515}"/>
    <cellStyle name="Total" xfId="248" builtinId="25" customBuiltin="1"/>
    <cellStyle name="Warning Text 2" xfId="255" xr:uid="{9C3D846C-E8EC-4443-AB54-CF55E85E4EAF}"/>
  </cellStyles>
  <dxfs count="8">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dmin Resonate" id="{30E1CAEC-4B0C-4746-A8BB-3A9B2103376C}" userId="b5035a32c91f9d8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2-12-15T10:14:34.06" personId="{30E1CAEC-4B0C-4746-A8BB-3A9B2103376C}" id="{449F2B9B-A9FC-4165-8F14-357048AAF3A0}">
    <text>2021 (2,462 participants), 1016 (First semester of 2022)</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66"/>
  <sheetViews>
    <sheetView workbookViewId="0">
      <selection activeCell="C17" sqref="C17"/>
    </sheetView>
  </sheetViews>
  <sheetFormatPr defaultColWidth="11" defaultRowHeight="13.8"/>
  <cols>
    <col min="3" max="3" width="34.69921875" customWidth="1"/>
  </cols>
  <sheetData>
    <row r="2" spans="2:14" ht="25.8">
      <c r="B2" s="105"/>
    </row>
    <row r="3" spans="2:14" ht="62.4">
      <c r="B3" s="4"/>
      <c r="C3" s="106" t="s">
        <v>6</v>
      </c>
      <c r="F3" s="5"/>
      <c r="G3" s="5"/>
      <c r="H3" s="5"/>
    </row>
    <row r="4" spans="2:14" ht="14.4">
      <c r="B4" s="6"/>
    </row>
    <row r="5" spans="2:14" ht="14.4">
      <c r="B5" s="7"/>
      <c r="C5" s="5"/>
      <c r="D5" s="5"/>
      <c r="E5" s="5"/>
      <c r="F5" s="5"/>
      <c r="G5" s="5"/>
      <c r="H5" s="5"/>
    </row>
    <row r="6" spans="2:14" ht="14.4">
      <c r="B6" s="8" t="s">
        <v>7</v>
      </c>
      <c r="C6" s="9" t="s">
        <v>8</v>
      </c>
      <c r="D6" s="10"/>
      <c r="E6" s="10"/>
      <c r="F6" s="10"/>
      <c r="G6" s="10"/>
      <c r="H6" s="10"/>
      <c r="I6" s="11"/>
      <c r="J6" s="11"/>
      <c r="K6" s="11"/>
      <c r="L6" s="11"/>
    </row>
    <row r="7" spans="2:14" ht="14.4">
      <c r="B7" s="8"/>
    </row>
    <row r="8" spans="2:14" ht="14.4">
      <c r="B8" s="8"/>
    </row>
    <row r="9" spans="2:14" ht="14.4">
      <c r="B9" s="8" t="s">
        <v>9</v>
      </c>
      <c r="C9" s="12" t="s">
        <v>10</v>
      </c>
      <c r="D9" s="13"/>
      <c r="E9" s="13"/>
      <c r="F9" s="13"/>
      <c r="G9" s="13"/>
      <c r="H9" s="104"/>
    </row>
    <row r="10" spans="2:14" ht="14.4">
      <c r="B10" s="8"/>
      <c r="C10" s="12" t="s">
        <v>11</v>
      </c>
      <c r="E10" s="14"/>
      <c r="F10" s="14"/>
      <c r="G10" s="14"/>
      <c r="H10" s="104" t="s">
        <v>12</v>
      </c>
    </row>
    <row r="11" spans="2:14" ht="14.4">
      <c r="B11" s="8"/>
      <c r="C11" s="12" t="s">
        <v>13</v>
      </c>
      <c r="D11" s="15"/>
      <c r="E11" s="15"/>
      <c r="F11" s="15"/>
      <c r="G11" s="15"/>
      <c r="H11" s="107" t="s">
        <v>14</v>
      </c>
    </row>
    <row r="12" spans="2:14" ht="14.4">
      <c r="B12" s="8"/>
      <c r="C12" s="12" t="s">
        <v>15</v>
      </c>
      <c r="D12" s="6"/>
      <c r="E12" s="14"/>
      <c r="F12" s="15"/>
      <c r="G12" s="15"/>
      <c r="H12" s="104" t="s">
        <v>16</v>
      </c>
    </row>
    <row r="13" spans="2:14" ht="14.4">
      <c r="B13" s="8"/>
      <c r="C13" s="12" t="s">
        <v>17</v>
      </c>
      <c r="D13" s="6"/>
      <c r="E13" s="15"/>
      <c r="F13" s="15"/>
      <c r="G13" s="15"/>
      <c r="H13" s="5"/>
    </row>
    <row r="14" spans="2:14" ht="14.4">
      <c r="B14" s="6"/>
      <c r="C14" s="12" t="s">
        <v>18</v>
      </c>
      <c r="D14" s="6"/>
      <c r="E14" s="14"/>
      <c r="F14" s="15"/>
      <c r="G14" s="15"/>
      <c r="I14" s="6"/>
      <c r="J14" s="6"/>
      <c r="K14" s="6"/>
      <c r="L14" s="6"/>
      <c r="M14" s="6"/>
      <c r="N14" s="6"/>
    </row>
    <row r="15" spans="2:14" ht="14.4">
      <c r="B15" s="6"/>
      <c r="C15" s="16"/>
      <c r="D15" s="6"/>
      <c r="E15" s="6"/>
      <c r="F15" s="6"/>
      <c r="G15" s="6"/>
      <c r="H15" s="6"/>
      <c r="I15" s="6"/>
      <c r="J15" s="6"/>
      <c r="K15" s="6"/>
      <c r="L15" s="6"/>
      <c r="M15" s="6"/>
      <c r="N15" s="6"/>
    </row>
    <row r="16" spans="2:14" ht="14.4">
      <c r="B16" s="3" t="s">
        <v>19</v>
      </c>
      <c r="C16" s="16" t="s">
        <v>20</v>
      </c>
      <c r="D16" s="6"/>
      <c r="E16" s="6"/>
      <c r="F16" s="6"/>
      <c r="G16" s="6"/>
      <c r="H16" s="6"/>
      <c r="I16" s="6"/>
      <c r="J16" s="6"/>
      <c r="K16" s="6"/>
      <c r="L16" s="6"/>
      <c r="M16" s="6"/>
      <c r="N16" s="6"/>
    </row>
    <row r="17" spans="3:14" ht="14.4">
      <c r="C17" s="6"/>
      <c r="D17" s="6"/>
      <c r="E17" s="6"/>
      <c r="F17" s="6"/>
      <c r="G17" s="6"/>
      <c r="H17" s="6"/>
      <c r="I17" s="17"/>
      <c r="J17" s="17"/>
      <c r="K17" s="6"/>
      <c r="L17" s="6"/>
      <c r="M17" s="6"/>
      <c r="N17" s="6"/>
    </row>
    <row r="18" spans="3:14" ht="14.4">
      <c r="C18" s="6"/>
      <c r="D18" s="6"/>
      <c r="E18" s="6"/>
      <c r="F18" s="6"/>
      <c r="G18" s="6"/>
      <c r="H18" s="6"/>
      <c r="I18" s="6"/>
      <c r="J18" s="6"/>
      <c r="K18" s="6"/>
      <c r="L18" s="6"/>
      <c r="M18" s="6"/>
      <c r="N18" s="6"/>
    </row>
    <row r="19" spans="3:14" ht="14.4">
      <c r="C19" s="6"/>
      <c r="E19" s="14"/>
      <c r="F19" s="14"/>
      <c r="G19" s="14"/>
      <c r="H19" s="14"/>
      <c r="I19" s="6"/>
      <c r="J19" s="6"/>
      <c r="K19" s="6"/>
      <c r="L19" s="6"/>
      <c r="M19" s="6"/>
      <c r="N19" s="6"/>
    </row>
    <row r="20" spans="3:14" ht="14.4">
      <c r="C20" s="6"/>
      <c r="D20" s="15"/>
      <c r="E20" s="15"/>
      <c r="F20" s="15"/>
      <c r="G20" s="15"/>
      <c r="H20" s="15"/>
      <c r="I20" s="6"/>
      <c r="J20" s="6"/>
      <c r="K20" s="6"/>
      <c r="L20" s="6"/>
      <c r="M20" s="6"/>
      <c r="N20" s="6"/>
    </row>
    <row r="21" spans="3:14" ht="14.4">
      <c r="C21" s="6"/>
      <c r="D21" s="6"/>
      <c r="E21" s="14"/>
      <c r="F21" s="15"/>
      <c r="G21" s="15"/>
      <c r="H21" s="15"/>
      <c r="I21" s="6"/>
      <c r="J21" s="6"/>
      <c r="K21" s="6"/>
      <c r="L21" s="6"/>
      <c r="M21" s="6"/>
      <c r="N21" s="6"/>
    </row>
    <row r="22" spans="3:14" ht="14.4">
      <c r="C22" s="6"/>
      <c r="D22" s="6"/>
      <c r="E22" s="15"/>
      <c r="F22" s="15"/>
      <c r="G22" s="15"/>
      <c r="H22" s="15"/>
      <c r="I22" s="6"/>
      <c r="J22" s="6"/>
      <c r="K22" s="6"/>
      <c r="L22" s="6"/>
      <c r="M22" s="6"/>
      <c r="N22" s="6"/>
    </row>
    <row r="23" spans="3:14" ht="14.4">
      <c r="C23" s="6"/>
      <c r="D23" s="6"/>
      <c r="E23" s="6"/>
      <c r="F23" s="6"/>
      <c r="G23" s="6"/>
      <c r="H23" s="6"/>
      <c r="I23" s="6"/>
      <c r="J23" s="6"/>
      <c r="K23" s="6"/>
      <c r="L23" s="6"/>
      <c r="M23" s="6"/>
      <c r="N23" s="6"/>
    </row>
    <row r="24" spans="3:14" ht="14.4">
      <c r="C24" s="6"/>
      <c r="D24" s="6"/>
      <c r="E24" s="6"/>
      <c r="F24" s="6"/>
      <c r="G24" s="6"/>
      <c r="H24" s="6"/>
      <c r="I24" s="6"/>
      <c r="J24" s="6"/>
      <c r="K24" s="6"/>
      <c r="L24" s="6"/>
      <c r="M24" s="6"/>
      <c r="N24" s="6"/>
    </row>
    <row r="25" spans="3:14" ht="14.4">
      <c r="C25" s="6"/>
      <c r="D25" s="6"/>
      <c r="E25" s="6"/>
      <c r="F25" s="6"/>
      <c r="G25" s="6"/>
      <c r="H25" s="6"/>
      <c r="I25" s="6"/>
      <c r="J25" s="6"/>
      <c r="K25" s="6"/>
      <c r="L25" s="6"/>
      <c r="M25" s="6"/>
      <c r="N25" s="6"/>
    </row>
    <row r="26" spans="3:14" ht="14.4">
      <c r="C26" s="6"/>
      <c r="D26" s="6"/>
      <c r="E26" s="6"/>
      <c r="F26" s="6"/>
      <c r="G26" s="6"/>
      <c r="H26" s="6"/>
      <c r="I26" s="6"/>
      <c r="J26" s="6"/>
      <c r="K26" s="6"/>
      <c r="L26" s="6"/>
      <c r="M26" s="6"/>
      <c r="N26" s="6"/>
    </row>
    <row r="27" spans="3:14" ht="14.4">
      <c r="C27" s="6"/>
      <c r="D27" s="6"/>
      <c r="E27" s="6"/>
      <c r="F27" s="6"/>
      <c r="G27" s="6"/>
      <c r="H27" s="6"/>
      <c r="I27" s="6"/>
      <c r="J27" s="6"/>
      <c r="K27" s="6"/>
      <c r="L27" s="6"/>
      <c r="M27" s="6"/>
      <c r="N27" s="6"/>
    </row>
    <row r="28" spans="3:14" ht="14.4">
      <c r="C28" s="6"/>
      <c r="D28" s="6"/>
      <c r="E28" s="6"/>
      <c r="F28" s="6"/>
      <c r="G28" s="6"/>
      <c r="H28" s="6"/>
      <c r="I28" s="6"/>
      <c r="J28" s="6"/>
      <c r="K28" s="6"/>
      <c r="L28" s="6"/>
      <c r="M28" s="6"/>
      <c r="N28" s="6"/>
    </row>
    <row r="29" spans="3:14" ht="14.4">
      <c r="C29" s="6"/>
      <c r="E29" s="14"/>
      <c r="F29" s="14"/>
      <c r="G29" s="14"/>
      <c r="H29" s="14"/>
      <c r="I29" s="6"/>
      <c r="J29" s="6"/>
      <c r="K29" s="6"/>
      <c r="L29" s="6"/>
      <c r="M29" s="6"/>
      <c r="N29" s="6"/>
    </row>
    <row r="30" spans="3:14" ht="14.4">
      <c r="C30" s="6"/>
      <c r="D30" s="15"/>
      <c r="E30" s="15"/>
      <c r="F30" s="15"/>
      <c r="G30" s="15"/>
      <c r="H30" s="15"/>
      <c r="I30" s="6"/>
      <c r="J30" s="6"/>
      <c r="K30" s="6"/>
      <c r="L30" s="6"/>
      <c r="M30" s="6"/>
      <c r="N30" s="6"/>
    </row>
    <row r="31" spans="3:14" ht="14.4">
      <c r="C31" s="6"/>
      <c r="D31" s="6"/>
      <c r="E31" s="14"/>
      <c r="F31" s="15"/>
      <c r="G31" s="15"/>
      <c r="H31" s="15"/>
      <c r="I31" s="6"/>
      <c r="J31" s="6"/>
      <c r="K31" s="6"/>
      <c r="L31" s="6"/>
      <c r="M31" s="6"/>
      <c r="N31" s="6"/>
    </row>
    <row r="32" spans="3:14" ht="14.4">
      <c r="C32" s="6"/>
      <c r="D32" s="6"/>
      <c r="E32" s="6"/>
      <c r="F32" s="6"/>
      <c r="G32" s="6"/>
      <c r="H32" s="6"/>
      <c r="I32" s="6"/>
      <c r="J32" s="6"/>
      <c r="K32" s="6"/>
      <c r="L32" s="6"/>
      <c r="M32" s="6"/>
      <c r="N32" s="6"/>
    </row>
    <row r="33" spans="3:14" ht="14.4">
      <c r="C33" s="6"/>
      <c r="D33" s="6"/>
      <c r="E33" s="6"/>
      <c r="F33" s="6"/>
      <c r="G33" s="6"/>
      <c r="H33" s="6"/>
      <c r="I33" s="6"/>
      <c r="J33" s="6"/>
      <c r="K33" s="6"/>
      <c r="L33" s="6"/>
      <c r="M33" s="6"/>
      <c r="N33" s="6"/>
    </row>
    <row r="34" spans="3:14" ht="14.4">
      <c r="C34" s="6"/>
      <c r="D34" s="6"/>
      <c r="E34" s="6"/>
      <c r="F34" s="6"/>
      <c r="G34" s="6"/>
      <c r="H34" s="6"/>
      <c r="I34" s="6"/>
      <c r="J34" s="6"/>
      <c r="K34" s="6"/>
      <c r="L34" s="6"/>
      <c r="M34" s="6"/>
      <c r="N34" s="6"/>
    </row>
    <row r="35" spans="3:14" ht="14.4">
      <c r="C35" s="6"/>
      <c r="E35" s="14"/>
      <c r="F35" s="14"/>
      <c r="G35" s="14"/>
      <c r="H35" s="14"/>
      <c r="I35" s="6"/>
      <c r="J35" s="6"/>
      <c r="K35" s="6"/>
      <c r="L35" s="6"/>
      <c r="M35" s="6"/>
      <c r="N35" s="6"/>
    </row>
    <row r="36" spans="3:14" ht="14.4">
      <c r="C36" s="6"/>
      <c r="D36" s="15"/>
      <c r="E36" s="15"/>
      <c r="F36" s="15"/>
      <c r="G36" s="15"/>
      <c r="H36" s="15"/>
      <c r="I36" s="6"/>
      <c r="J36" s="6"/>
      <c r="K36" s="6"/>
      <c r="L36" s="6"/>
      <c r="M36" s="6"/>
      <c r="N36" s="6"/>
    </row>
    <row r="37" spans="3:14" ht="14.4">
      <c r="C37" s="6"/>
      <c r="D37" s="6"/>
      <c r="E37" s="14"/>
      <c r="F37" s="15"/>
      <c r="G37" s="15"/>
      <c r="H37" s="15"/>
      <c r="I37" s="6"/>
      <c r="J37" s="6"/>
      <c r="K37" s="6"/>
      <c r="L37" s="6"/>
      <c r="M37" s="6"/>
      <c r="N37" s="6"/>
    </row>
    <row r="38" spans="3:14" ht="14.4">
      <c r="C38" s="6"/>
      <c r="D38" s="6"/>
      <c r="E38" s="15"/>
      <c r="F38" s="15"/>
      <c r="G38" s="15"/>
      <c r="H38" s="15"/>
      <c r="I38" s="6"/>
      <c r="J38" s="6"/>
      <c r="K38" s="6"/>
      <c r="L38" s="6"/>
      <c r="M38" s="6"/>
      <c r="N38" s="6"/>
    </row>
    <row r="39" spans="3:14" ht="14.4">
      <c r="C39" s="6"/>
      <c r="D39" s="6"/>
      <c r="E39" s="6"/>
      <c r="F39" s="6"/>
      <c r="G39" s="6"/>
      <c r="H39" s="6"/>
      <c r="I39" s="6"/>
      <c r="J39" s="6"/>
      <c r="K39" s="6"/>
      <c r="L39" s="6"/>
      <c r="M39" s="6"/>
      <c r="N39" s="6"/>
    </row>
    <row r="40" spans="3:14" ht="14.4">
      <c r="C40" s="6"/>
      <c r="D40" s="6"/>
      <c r="E40" s="6"/>
      <c r="F40" s="6"/>
      <c r="G40" s="6"/>
      <c r="H40" s="6"/>
      <c r="I40" s="6"/>
      <c r="J40" s="6"/>
      <c r="K40" s="6"/>
      <c r="L40" s="6"/>
      <c r="M40" s="6"/>
      <c r="N40" s="6"/>
    </row>
    <row r="41" spans="3:14" ht="14.4">
      <c r="C41" s="6"/>
      <c r="D41" s="6"/>
      <c r="E41" s="6"/>
      <c r="F41" s="6"/>
      <c r="G41" s="6"/>
      <c r="H41" s="6"/>
      <c r="I41" s="6"/>
      <c r="J41" s="6"/>
      <c r="K41" s="6"/>
      <c r="L41" s="6"/>
      <c r="M41" s="6"/>
      <c r="N41" s="6"/>
    </row>
    <row r="42" spans="3:14" ht="14.4">
      <c r="C42" s="6"/>
      <c r="D42" s="6"/>
      <c r="E42" s="6"/>
      <c r="F42" s="6"/>
      <c r="G42" s="6"/>
      <c r="H42" s="6"/>
      <c r="I42" s="6"/>
      <c r="J42" s="6"/>
      <c r="K42" s="6"/>
      <c r="L42" s="6"/>
      <c r="M42" s="6"/>
      <c r="N42" s="6"/>
    </row>
    <row r="43" spans="3:14" ht="14.4">
      <c r="C43" s="6"/>
      <c r="D43" s="6"/>
      <c r="E43" s="6"/>
      <c r="F43" s="6"/>
      <c r="G43" s="6"/>
      <c r="H43" s="6"/>
      <c r="I43" s="6"/>
      <c r="J43" s="6"/>
      <c r="K43" s="6"/>
      <c r="L43" s="6"/>
      <c r="M43" s="6"/>
      <c r="N43" s="6"/>
    </row>
    <row r="44" spans="3:14" ht="14.4">
      <c r="C44" s="6"/>
      <c r="D44" s="6"/>
      <c r="E44" s="6"/>
      <c r="F44" s="6"/>
      <c r="G44" s="6"/>
      <c r="H44" s="6"/>
      <c r="I44" s="6"/>
      <c r="J44" s="6"/>
      <c r="K44" s="6"/>
      <c r="L44" s="6"/>
      <c r="M44" s="6"/>
      <c r="N44" s="6"/>
    </row>
    <row r="45" spans="3:14" ht="14.4">
      <c r="C45" s="6"/>
      <c r="D45" s="6"/>
      <c r="E45" s="6"/>
      <c r="F45" s="6"/>
      <c r="G45" s="6"/>
      <c r="H45" s="6"/>
      <c r="I45" s="6"/>
      <c r="J45" s="6"/>
      <c r="K45" s="6"/>
      <c r="L45" s="6"/>
      <c r="M45" s="6"/>
      <c r="N45" s="6"/>
    </row>
    <row r="46" spans="3:14" ht="14.4">
      <c r="C46" s="6"/>
      <c r="D46" s="6"/>
      <c r="E46" s="6"/>
      <c r="F46" s="6"/>
      <c r="G46" s="6"/>
      <c r="H46" s="6"/>
      <c r="I46" s="6"/>
      <c r="J46" s="6"/>
      <c r="K46" s="6"/>
      <c r="L46" s="6"/>
      <c r="M46" s="6"/>
      <c r="N46" s="6"/>
    </row>
    <row r="47" spans="3:14" ht="14.4">
      <c r="C47" s="6"/>
      <c r="D47" s="6"/>
      <c r="E47" s="6"/>
      <c r="F47" s="6"/>
      <c r="G47" s="6"/>
      <c r="H47" s="6"/>
      <c r="I47" s="6"/>
      <c r="J47" s="6"/>
      <c r="K47" s="6"/>
      <c r="L47" s="6"/>
      <c r="M47" s="6"/>
      <c r="N47" s="6"/>
    </row>
    <row r="48" spans="3:14" ht="14.4">
      <c r="C48" s="6"/>
      <c r="D48" s="6"/>
      <c r="E48" s="6"/>
      <c r="F48" s="6"/>
      <c r="G48" s="6"/>
      <c r="H48" s="6"/>
      <c r="I48" s="6"/>
      <c r="J48" s="6"/>
      <c r="K48" s="6"/>
      <c r="L48" s="6"/>
      <c r="M48" s="6"/>
      <c r="N48" s="6"/>
    </row>
    <row r="49" spans="3:14" ht="14.4">
      <c r="C49" s="6"/>
      <c r="D49" s="6"/>
      <c r="E49" s="6"/>
      <c r="F49" s="6"/>
      <c r="G49" s="6"/>
      <c r="H49" s="6"/>
      <c r="I49" s="6"/>
      <c r="J49" s="6"/>
      <c r="K49" s="6"/>
      <c r="L49" s="6"/>
      <c r="M49" s="6"/>
      <c r="N49" s="6"/>
    </row>
    <row r="50" spans="3:14" ht="14.4">
      <c r="C50" s="6"/>
      <c r="D50" s="6"/>
      <c r="E50" s="6"/>
      <c r="F50" s="6"/>
      <c r="G50" s="6"/>
      <c r="H50" s="6"/>
      <c r="I50" s="6"/>
      <c r="J50" s="6"/>
      <c r="K50" s="6"/>
      <c r="L50" s="6"/>
      <c r="M50" s="6"/>
      <c r="N50" s="6"/>
    </row>
    <row r="51" spans="3:14" ht="14.4">
      <c r="C51" s="6"/>
      <c r="D51" s="6"/>
      <c r="E51" s="6"/>
      <c r="F51" s="6"/>
      <c r="G51" s="6"/>
      <c r="H51" s="6"/>
      <c r="I51" s="6"/>
      <c r="J51" s="6"/>
      <c r="K51" s="6"/>
      <c r="L51" s="6"/>
      <c r="M51" s="6"/>
      <c r="N51" s="6"/>
    </row>
    <row r="52" spans="3:14" ht="14.4">
      <c r="C52" s="6"/>
      <c r="D52" s="6"/>
      <c r="E52" s="6"/>
      <c r="F52" s="6"/>
      <c r="G52" s="6"/>
      <c r="H52" s="6"/>
      <c r="I52" s="6"/>
      <c r="J52" s="6"/>
      <c r="K52" s="6"/>
      <c r="L52" s="6"/>
      <c r="M52" s="6"/>
      <c r="N52" s="6"/>
    </row>
    <row r="53" spans="3:14" ht="14.4">
      <c r="C53" s="6"/>
      <c r="D53" s="6"/>
      <c r="E53" s="6"/>
      <c r="F53" s="6"/>
      <c r="G53" s="6"/>
      <c r="H53" s="6"/>
      <c r="I53" s="6"/>
      <c r="J53" s="6"/>
      <c r="K53" s="6"/>
      <c r="L53" s="6"/>
      <c r="M53" s="6"/>
      <c r="N53" s="6"/>
    </row>
    <row r="54" spans="3:14" ht="14.4">
      <c r="C54" s="6"/>
      <c r="D54" s="6"/>
      <c r="E54" s="6"/>
      <c r="F54" s="6"/>
      <c r="G54" s="6"/>
      <c r="H54" s="6"/>
      <c r="I54" s="6"/>
      <c r="J54" s="6"/>
      <c r="K54" s="6"/>
      <c r="L54" s="6"/>
      <c r="M54" s="6"/>
      <c r="N54" s="6"/>
    </row>
    <row r="55" spans="3:14" ht="14.4">
      <c r="C55" s="6"/>
      <c r="D55" s="6"/>
      <c r="E55" s="6"/>
      <c r="F55" s="6"/>
      <c r="G55" s="6"/>
      <c r="H55" s="6"/>
      <c r="I55" s="6"/>
      <c r="J55" s="6"/>
      <c r="K55" s="6"/>
      <c r="L55" s="6"/>
      <c r="M55" s="6"/>
      <c r="N55" s="6"/>
    </row>
    <row r="56" spans="3:14" ht="14.4">
      <c r="C56" s="6"/>
      <c r="D56" s="6"/>
      <c r="E56" s="6"/>
      <c r="F56" s="6"/>
      <c r="G56" s="6"/>
      <c r="H56" s="6"/>
      <c r="I56" s="6"/>
      <c r="J56" s="6"/>
      <c r="K56" s="6"/>
      <c r="L56" s="6"/>
      <c r="M56" s="6"/>
      <c r="N56" s="6"/>
    </row>
    <row r="57" spans="3:14" ht="14.4">
      <c r="C57" s="6"/>
      <c r="D57" s="6"/>
      <c r="E57" s="6"/>
      <c r="F57" s="6"/>
      <c r="G57" s="6"/>
      <c r="H57" s="6"/>
      <c r="I57" s="6"/>
      <c r="J57" s="6"/>
      <c r="K57" s="6"/>
      <c r="L57" s="6"/>
      <c r="M57" s="6"/>
      <c r="N57" s="6"/>
    </row>
    <row r="58" spans="3:14" ht="14.4">
      <c r="C58" s="6"/>
      <c r="D58" s="6"/>
      <c r="E58" s="6"/>
      <c r="F58" s="6"/>
      <c r="G58" s="6"/>
      <c r="H58" s="6"/>
      <c r="I58" s="6"/>
      <c r="J58" s="6"/>
      <c r="K58" s="6"/>
      <c r="L58" s="6"/>
      <c r="M58" s="6"/>
      <c r="N58" s="6"/>
    </row>
    <row r="59" spans="3:14" ht="14.4">
      <c r="C59" s="6"/>
      <c r="D59" s="6"/>
      <c r="E59" s="6"/>
      <c r="F59" s="6"/>
      <c r="G59" s="6"/>
      <c r="H59" s="6"/>
      <c r="I59" s="6"/>
      <c r="J59" s="6"/>
      <c r="K59" s="6"/>
      <c r="L59" s="6"/>
      <c r="M59" s="6"/>
      <c r="N59" s="6"/>
    </row>
    <row r="60" spans="3:14" ht="14.4">
      <c r="C60" s="6"/>
      <c r="D60" s="6"/>
      <c r="E60" s="6"/>
      <c r="F60" s="6"/>
      <c r="G60" s="6"/>
      <c r="H60" s="6"/>
      <c r="I60" s="6"/>
      <c r="J60" s="6"/>
      <c r="K60" s="6"/>
      <c r="L60" s="6"/>
      <c r="M60" s="6"/>
      <c r="N60" s="6"/>
    </row>
    <row r="61" spans="3:14" ht="14.4">
      <c r="C61" s="6"/>
      <c r="D61" s="6"/>
      <c r="E61" s="6"/>
      <c r="F61" s="6"/>
      <c r="G61" s="6"/>
      <c r="H61" s="6"/>
      <c r="I61" s="6"/>
      <c r="J61" s="6"/>
      <c r="K61" s="6"/>
      <c r="L61" s="6"/>
      <c r="M61" s="6"/>
      <c r="N61" s="6"/>
    </row>
    <row r="62" spans="3:14" ht="14.4">
      <c r="C62" s="6"/>
      <c r="D62" s="6"/>
      <c r="E62" s="6"/>
      <c r="F62" s="6"/>
      <c r="G62" s="6"/>
      <c r="H62" s="6"/>
      <c r="I62" s="6"/>
      <c r="J62" s="6"/>
      <c r="K62" s="6"/>
      <c r="L62" s="6"/>
      <c r="M62" s="6"/>
      <c r="N62" s="6"/>
    </row>
    <row r="63" spans="3:14" ht="14.4">
      <c r="C63" s="6"/>
      <c r="D63" s="6"/>
      <c r="E63" s="6"/>
      <c r="F63" s="6"/>
      <c r="G63" s="6"/>
      <c r="H63" s="6"/>
      <c r="I63" s="6"/>
      <c r="J63" s="6"/>
      <c r="K63" s="6"/>
      <c r="L63" s="6"/>
      <c r="M63" s="6"/>
      <c r="N63" s="6"/>
    </row>
    <row r="64" spans="3:14" ht="14.4">
      <c r="C64" s="6"/>
      <c r="D64" s="6"/>
      <c r="E64" s="6"/>
      <c r="F64" s="6"/>
      <c r="G64" s="6"/>
      <c r="H64" s="6"/>
      <c r="I64" s="6"/>
      <c r="J64" s="6"/>
      <c r="K64" s="6"/>
      <c r="L64" s="6"/>
      <c r="M64" s="6"/>
      <c r="N64" s="6"/>
    </row>
    <row r="65" spans="3:14" ht="14.4">
      <c r="C65" s="6"/>
      <c r="D65" s="6"/>
      <c r="E65" s="6"/>
      <c r="F65" s="6"/>
      <c r="G65" s="6"/>
      <c r="H65" s="6"/>
      <c r="I65" s="6"/>
      <c r="J65" s="6"/>
      <c r="K65" s="6"/>
      <c r="L65" s="6"/>
      <c r="M65" s="6"/>
      <c r="N65" s="6"/>
    </row>
    <row r="66" spans="3:14" ht="14.4">
      <c r="C66" s="6"/>
      <c r="D66" s="6"/>
      <c r="E66" s="6"/>
      <c r="F66" s="6"/>
      <c r="G66" s="6"/>
      <c r="H66" s="6"/>
      <c r="I66" s="6"/>
      <c r="J66" s="6"/>
      <c r="K66" s="6"/>
      <c r="L66" s="6"/>
      <c r="M66" s="6"/>
      <c r="N66" s="6"/>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60"/>
  <sheetViews>
    <sheetView topLeftCell="A36" zoomScale="83" workbookViewId="0">
      <selection activeCell="G45" sqref="G45"/>
    </sheetView>
  </sheetViews>
  <sheetFormatPr defaultColWidth="11" defaultRowHeight="13.8"/>
  <cols>
    <col min="2" max="2" width="23.3984375" customWidth="1"/>
    <col min="3" max="3" width="11.19921875" customWidth="1"/>
    <col min="4" max="4" width="15.09765625" customWidth="1"/>
    <col min="5" max="5" width="18.09765625" customWidth="1"/>
    <col min="6" max="6" width="14.09765625" customWidth="1"/>
    <col min="9" max="9" width="13.3984375" customWidth="1"/>
    <col min="10" max="10" width="15.59765625" customWidth="1"/>
  </cols>
  <sheetData>
    <row r="1" spans="2:15" ht="16.2" thickBot="1">
      <c r="C1" s="81"/>
      <c r="F1" s="81"/>
      <c r="G1" s="81"/>
      <c r="H1" s="81"/>
      <c r="I1" s="81"/>
      <c r="J1" s="81"/>
      <c r="K1" s="81"/>
      <c r="L1" s="81"/>
      <c r="M1" s="81"/>
      <c r="N1" s="81"/>
      <c r="O1" s="81"/>
    </row>
    <row r="2" spans="2:15" ht="28.8" thickBot="1">
      <c r="B2" s="344" t="s">
        <v>117</v>
      </c>
      <c r="C2" s="338">
        <f>2462+1016</f>
        <v>3478</v>
      </c>
      <c r="E2" s="81"/>
      <c r="F2" s="81"/>
      <c r="G2" s="81"/>
      <c r="H2" s="81"/>
      <c r="I2" s="81"/>
      <c r="J2" s="81"/>
      <c r="K2" s="81"/>
      <c r="L2" s="81"/>
      <c r="M2" s="81"/>
      <c r="N2" s="81"/>
      <c r="O2" s="81"/>
    </row>
    <row r="3" spans="2:15" ht="16.2" thickBot="1">
      <c r="B3" s="339"/>
      <c r="C3" s="81"/>
      <c r="E3" s="81"/>
      <c r="F3" s="81"/>
      <c r="G3" s="81"/>
      <c r="H3" s="81"/>
      <c r="I3" s="81"/>
      <c r="J3" s="81"/>
      <c r="K3" s="81"/>
      <c r="L3" s="81"/>
      <c r="M3" s="81"/>
      <c r="N3" s="81"/>
      <c r="O3" s="81"/>
    </row>
    <row r="4" spans="2:15" ht="16.2" thickBot="1">
      <c r="B4" s="345" t="s">
        <v>115</v>
      </c>
      <c r="C4" s="81" t="s">
        <v>123</v>
      </c>
      <c r="F4" s="81"/>
      <c r="G4" s="81"/>
      <c r="H4" s="81"/>
      <c r="I4" s="81"/>
      <c r="J4" s="81"/>
      <c r="K4" s="81"/>
      <c r="L4" s="81"/>
      <c r="M4" s="81"/>
      <c r="N4" s="81"/>
      <c r="O4" s="81"/>
    </row>
    <row r="5" spans="2:15" ht="15.6">
      <c r="B5" s="341" t="s">
        <v>80</v>
      </c>
      <c r="C5" s="346" t="e">
        <f>'six months follow-up_in person'!#REF!+'One year follow-up_inperson'!H19</f>
        <v>#REF!</v>
      </c>
      <c r="F5" s="81"/>
      <c r="G5" s="81"/>
      <c r="H5" s="81"/>
      <c r="I5" s="81"/>
      <c r="J5" s="81"/>
      <c r="K5" s="81"/>
      <c r="L5" s="81"/>
      <c r="M5" s="81"/>
      <c r="N5" s="81"/>
      <c r="O5" s="81"/>
    </row>
    <row r="6" spans="2:15" ht="15.6">
      <c r="B6" s="341" t="s">
        <v>89</v>
      </c>
      <c r="C6" s="337" t="e">
        <f>#REF!+'One year follow-up_Virtual'!G9</f>
        <v>#REF!</v>
      </c>
      <c r="F6" s="81"/>
      <c r="G6" s="81"/>
      <c r="H6" s="81"/>
      <c r="I6" s="81"/>
      <c r="J6" s="81"/>
      <c r="K6" s="81"/>
      <c r="L6" s="81"/>
      <c r="M6" s="81"/>
      <c r="N6" s="81"/>
      <c r="O6" s="81"/>
    </row>
    <row r="7" spans="2:15" ht="15.6">
      <c r="B7" s="340" t="s">
        <v>124</v>
      </c>
      <c r="C7" s="348" t="e">
        <f>SUM(C5:C6)</f>
        <v>#REF!</v>
      </c>
      <c r="F7" s="81"/>
      <c r="G7" s="81"/>
      <c r="H7" s="81"/>
      <c r="I7" s="81"/>
      <c r="J7" s="81"/>
      <c r="K7" s="81"/>
      <c r="L7" s="81"/>
      <c r="M7" s="81"/>
      <c r="N7" s="81"/>
      <c r="O7" s="81"/>
    </row>
    <row r="8" spans="2:15" ht="15.6">
      <c r="B8" s="340" t="s">
        <v>125</v>
      </c>
      <c r="C8" s="347">
        <f>' Analysis_Stats_in person'!AC12</f>
        <v>176</v>
      </c>
      <c r="F8" s="81"/>
      <c r="G8" s="81"/>
      <c r="H8" s="81"/>
      <c r="I8" s="81"/>
      <c r="J8" s="81"/>
      <c r="K8" s="81"/>
      <c r="L8" s="81"/>
      <c r="M8" s="81"/>
      <c r="N8" s="81"/>
      <c r="O8" s="81"/>
    </row>
    <row r="9" spans="2:15" ht="16.2" thickBot="1">
      <c r="B9" s="321"/>
      <c r="C9" s="81"/>
      <c r="F9" s="81"/>
      <c r="G9" s="81"/>
      <c r="H9" s="81"/>
      <c r="I9" s="81"/>
      <c r="J9" s="81"/>
      <c r="K9" s="81"/>
      <c r="L9" s="81"/>
      <c r="M9" s="81"/>
      <c r="N9" s="81"/>
      <c r="O9" s="81"/>
    </row>
    <row r="10" spans="2:15" ht="16.2" thickBot="1">
      <c r="B10" s="343" t="s">
        <v>0</v>
      </c>
      <c r="C10" s="81" t="s">
        <v>123</v>
      </c>
      <c r="F10" s="81"/>
      <c r="G10" s="81"/>
      <c r="H10" s="81"/>
      <c r="I10" s="81"/>
      <c r="J10" s="81"/>
      <c r="K10" s="81"/>
      <c r="L10" s="81"/>
      <c r="M10" s="81"/>
      <c r="N10" s="81"/>
      <c r="O10" s="81"/>
    </row>
    <row r="11" spans="2:15" ht="15.6">
      <c r="B11" s="342" t="s">
        <v>2</v>
      </c>
      <c r="C11" s="347" t="e">
        <f>'six months follow-up_in person'!G13+#REF!+'One year follow-up_inperson'!R2+'One year follow-up_Virtual'!L3</f>
        <v>#REF!</v>
      </c>
      <c r="F11" s="81"/>
      <c r="G11" s="81"/>
      <c r="H11" s="81"/>
      <c r="I11" s="81"/>
      <c r="J11" s="81"/>
      <c r="K11" s="81"/>
      <c r="L11" s="81"/>
      <c r="M11" s="81"/>
      <c r="N11" s="81"/>
      <c r="O11" s="81"/>
    </row>
    <row r="12" spans="2:15" ht="15.6">
      <c r="B12" s="340" t="s">
        <v>4</v>
      </c>
      <c r="C12" s="347" t="e">
        <f>'six months follow-up_in person'!G14+#REF!+'One year follow-up_inperson'!R3</f>
        <v>#REF!</v>
      </c>
      <c r="F12" s="81"/>
      <c r="G12" s="81"/>
      <c r="H12" s="81"/>
      <c r="I12" s="81"/>
      <c r="J12" s="81"/>
      <c r="K12" s="81"/>
      <c r="L12" s="81"/>
      <c r="M12" s="81"/>
      <c r="N12" s="81"/>
      <c r="O12" s="81"/>
    </row>
    <row r="13" spans="2:15" ht="15.6">
      <c r="B13" s="324"/>
      <c r="C13" s="81"/>
      <c r="F13" s="81"/>
      <c r="G13" s="81"/>
      <c r="H13" s="81"/>
      <c r="I13" s="81"/>
      <c r="J13" s="81"/>
      <c r="K13" s="81"/>
      <c r="L13" s="81"/>
      <c r="M13" s="81"/>
      <c r="N13" s="81"/>
      <c r="O13" s="81"/>
    </row>
    <row r="14" spans="2:15" ht="15.6">
      <c r="B14" s="321"/>
      <c r="C14" s="81"/>
      <c r="F14" s="81"/>
      <c r="G14" s="81"/>
      <c r="H14" s="81"/>
      <c r="I14" s="81"/>
      <c r="J14" s="81"/>
      <c r="K14" s="81"/>
      <c r="L14" s="81"/>
      <c r="M14" s="81"/>
      <c r="N14" s="81"/>
      <c r="O14" s="81"/>
    </row>
    <row r="15" spans="2:15" s="62" customFormat="1" ht="15" thickBot="1">
      <c r="B15" s="253"/>
      <c r="C15" s="246"/>
      <c r="D15" s="423" t="s">
        <v>116</v>
      </c>
      <c r="E15" s="423"/>
      <c r="F15" s="423"/>
      <c r="G15" s="246"/>
      <c r="H15" s="246"/>
      <c r="I15" s="246"/>
      <c r="J15" s="246"/>
      <c r="K15" s="246"/>
    </row>
    <row r="16" spans="2:15" s="62" customFormat="1" ht="21.6" thickBot="1">
      <c r="B16" s="6"/>
      <c r="C16" s="6"/>
      <c r="D16" s="424" t="s">
        <v>109</v>
      </c>
      <c r="E16" s="425"/>
      <c r="F16" s="426"/>
      <c r="G16" s="246"/>
      <c r="H16" s="246"/>
      <c r="I16" s="246"/>
      <c r="J16" s="246"/>
      <c r="K16" s="246"/>
    </row>
    <row r="17" spans="1:15" s="62" customFormat="1" ht="19.8" customHeight="1" thickBot="1">
      <c r="B17" s="430" t="s">
        <v>108</v>
      </c>
      <c r="C17" s="431"/>
      <c r="D17" s="204" t="s">
        <v>103</v>
      </c>
      <c r="E17" s="206" t="s">
        <v>105</v>
      </c>
      <c r="F17" s="204" t="s">
        <v>74</v>
      </c>
      <c r="G17" s="247"/>
      <c r="H17" s="248"/>
      <c r="I17" s="248"/>
      <c r="J17" s="248"/>
      <c r="K17" s="246"/>
    </row>
    <row r="18" spans="1:15" s="62" customFormat="1" ht="14.4">
      <c r="B18" s="432" t="s">
        <v>90</v>
      </c>
      <c r="C18" s="433"/>
      <c r="D18" s="207">
        <v>228</v>
      </c>
      <c r="E18" s="263">
        <f ca="1">' Analysis_Stats_in person'!AC7</f>
        <v>176</v>
      </c>
      <c r="F18" s="208">
        <f ca="1">D18/E18</f>
        <v>1.2954545454545454</v>
      </c>
      <c r="G18" s="265"/>
      <c r="H18" s="249"/>
      <c r="I18" s="249"/>
      <c r="J18" s="249"/>
      <c r="K18" s="246"/>
    </row>
    <row r="19" spans="1:15" s="62" customFormat="1" ht="14.4">
      <c r="B19" s="434" t="s">
        <v>91</v>
      </c>
      <c r="C19" s="435"/>
      <c r="D19" s="207">
        <v>43</v>
      </c>
      <c r="E19" s="207">
        <v>927</v>
      </c>
      <c r="F19" s="208">
        <f t="shared" ref="F19:F23" si="0">D19/E19</f>
        <v>4.6386192017259978E-2</v>
      </c>
      <c r="G19" s="265"/>
      <c r="H19" s="250"/>
      <c r="I19" s="251"/>
      <c r="J19" s="251"/>
      <c r="K19" s="254"/>
      <c r="L19" s="252"/>
      <c r="M19" s="252"/>
    </row>
    <row r="20" spans="1:15" s="62" customFormat="1" ht="14.4">
      <c r="B20" s="434" t="s">
        <v>92</v>
      </c>
      <c r="C20" s="435"/>
      <c r="D20" s="207">
        <v>9</v>
      </c>
      <c r="E20" s="207">
        <v>455</v>
      </c>
      <c r="F20" s="208">
        <f t="shared" si="0"/>
        <v>1.9780219780219779E-2</v>
      </c>
      <c r="G20" s="265"/>
      <c r="H20" s="250"/>
      <c r="I20" s="251"/>
      <c r="J20" s="251"/>
      <c r="K20" s="254"/>
      <c r="L20" s="252"/>
      <c r="M20" s="252"/>
    </row>
    <row r="21" spans="1:15" s="62" customFormat="1" ht="14.4">
      <c r="B21" s="434" t="s">
        <v>107</v>
      </c>
      <c r="C21" s="435"/>
      <c r="D21" s="207">
        <v>123</v>
      </c>
      <c r="E21" s="207">
        <v>1077</v>
      </c>
      <c r="F21" s="208">
        <f t="shared" si="0"/>
        <v>0.11420612813370473</v>
      </c>
      <c r="G21" s="265"/>
      <c r="H21" s="250"/>
      <c r="I21" s="251"/>
      <c r="J21" s="251"/>
      <c r="K21" s="254"/>
      <c r="L21" s="252"/>
      <c r="M21" s="252"/>
    </row>
    <row r="22" spans="1:15" s="62" customFormat="1" ht="14.4">
      <c r="B22" s="434" t="s">
        <v>106</v>
      </c>
      <c r="C22" s="435"/>
      <c r="D22" s="207">
        <v>880</v>
      </c>
      <c r="E22" s="207">
        <v>1077</v>
      </c>
      <c r="F22" s="208">
        <f t="shared" si="0"/>
        <v>0.81708449396471683</v>
      </c>
      <c r="G22" s="265"/>
      <c r="H22" s="250"/>
      <c r="I22" s="251"/>
      <c r="J22" s="251"/>
      <c r="K22" s="254"/>
      <c r="L22" s="252"/>
      <c r="M22" s="252"/>
    </row>
    <row r="23" spans="1:15" s="62" customFormat="1" ht="15" thickBot="1">
      <c r="B23" s="436" t="s">
        <v>30</v>
      </c>
      <c r="C23" s="437"/>
      <c r="D23" s="214">
        <v>899</v>
      </c>
      <c r="E23" s="214">
        <f>' Analysis_Stats_in person'!AC12</f>
        <v>176</v>
      </c>
      <c r="F23" s="216">
        <f t="shared" si="0"/>
        <v>5.1079545454545459</v>
      </c>
      <c r="G23" s="265"/>
      <c r="H23" s="255"/>
      <c r="I23" s="255"/>
      <c r="J23" s="255"/>
      <c r="K23" s="255"/>
    </row>
    <row r="24" spans="1:15" s="62" customFormat="1" ht="14.4">
      <c r="A24" s="102"/>
      <c r="B24" s="102"/>
      <c r="C24" s="102"/>
      <c r="D24" s="102"/>
      <c r="E24" s="101"/>
      <c r="F24" s="102"/>
      <c r="G24" s="102"/>
      <c r="H24" s="102"/>
      <c r="I24" s="102"/>
      <c r="J24" s="102"/>
      <c r="K24" s="102"/>
      <c r="L24" s="103"/>
      <c r="M24" s="103"/>
      <c r="N24" s="103"/>
      <c r="O24" s="103"/>
    </row>
    <row r="27" spans="1:15" ht="14.4" thickBot="1">
      <c r="D27" s="438" t="s">
        <v>80</v>
      </c>
      <c r="E27" s="438"/>
      <c r="F27" s="438"/>
      <c r="G27" s="438"/>
      <c r="H27" s="438"/>
      <c r="I27" s="438"/>
      <c r="J27" s="438"/>
      <c r="K27" s="438"/>
      <c r="L27" s="438"/>
      <c r="M27" s="439"/>
      <c r="N27" s="439"/>
      <c r="O27" s="439"/>
    </row>
    <row r="28" spans="1:15" ht="21.6" thickBot="1">
      <c r="B28" s="6"/>
      <c r="C28" s="6"/>
      <c r="D28" s="428" t="s">
        <v>86</v>
      </c>
      <c r="E28" s="429"/>
      <c r="F28" s="429"/>
      <c r="G28" s="414" t="s">
        <v>1</v>
      </c>
      <c r="H28" s="415"/>
      <c r="I28" s="415"/>
      <c r="J28" s="412" t="s">
        <v>87</v>
      </c>
      <c r="K28" s="413"/>
      <c r="L28" s="413"/>
      <c r="M28" s="416" t="s">
        <v>88</v>
      </c>
      <c r="N28" s="417"/>
      <c r="O28" s="418"/>
    </row>
    <row r="29" spans="1:15" ht="31.8" thickBot="1">
      <c r="B29" s="430" t="s">
        <v>108</v>
      </c>
      <c r="C29" s="431"/>
      <c r="D29" s="204" t="s">
        <v>103</v>
      </c>
      <c r="E29" s="206" t="s">
        <v>105</v>
      </c>
      <c r="F29" s="204" t="s">
        <v>74</v>
      </c>
      <c r="G29" s="203" t="s">
        <v>103</v>
      </c>
      <c r="H29" s="204" t="s">
        <v>105</v>
      </c>
      <c r="I29" s="205" t="s">
        <v>74</v>
      </c>
      <c r="J29" s="203" t="s">
        <v>103</v>
      </c>
      <c r="K29" s="204" t="s">
        <v>105</v>
      </c>
      <c r="L29" s="205" t="s">
        <v>74</v>
      </c>
      <c r="M29" s="203" t="s">
        <v>103</v>
      </c>
      <c r="N29" s="204" t="s">
        <v>105</v>
      </c>
      <c r="O29" s="205" t="s">
        <v>74</v>
      </c>
    </row>
    <row r="30" spans="1:15" ht="14.4">
      <c r="B30" s="432" t="s">
        <v>90</v>
      </c>
      <c r="C30" s="433"/>
      <c r="D30" s="207">
        <v>81</v>
      </c>
      <c r="E30" s="177">
        <v>366</v>
      </c>
      <c r="F30" s="208">
        <f>D30/E30</f>
        <v>0.22131147540983606</v>
      </c>
      <c r="G30" s="209">
        <v>100</v>
      </c>
      <c r="H30" s="210">
        <f>161-4</f>
        <v>157</v>
      </c>
      <c r="I30" s="208">
        <f>G30/H30</f>
        <v>0.63694267515923564</v>
      </c>
      <c r="J30" s="212">
        <v>20</v>
      </c>
      <c r="K30" s="213">
        <v>248</v>
      </c>
      <c r="L30" s="208">
        <f>J30/K30</f>
        <v>8.0645161290322578E-2</v>
      </c>
      <c r="M30" s="212">
        <v>10</v>
      </c>
      <c r="N30" s="213">
        <v>73</v>
      </c>
      <c r="O30" s="208">
        <f>M30/N30</f>
        <v>0.13698630136986301</v>
      </c>
    </row>
    <row r="31" spans="1:15" ht="14.4">
      <c r="B31" s="434" t="s">
        <v>91</v>
      </c>
      <c r="C31" s="435"/>
      <c r="D31" s="207">
        <v>12</v>
      </c>
      <c r="E31" s="177">
        <v>366</v>
      </c>
      <c r="F31" s="208">
        <f t="shared" ref="F31:F35" si="1">D31/E31</f>
        <v>3.2786885245901641E-2</v>
      </c>
      <c r="G31" s="209">
        <v>9</v>
      </c>
      <c r="H31" s="210">
        <f>161-41-4</f>
        <v>116</v>
      </c>
      <c r="I31" s="208">
        <f t="shared" ref="I31:I35" si="2">G31/H31</f>
        <v>7.7586206896551727E-2</v>
      </c>
      <c r="J31" s="212">
        <v>4</v>
      </c>
      <c r="K31" s="213">
        <v>195</v>
      </c>
      <c r="L31" s="208">
        <f t="shared" ref="L31:L35" si="3">J31/K31</f>
        <v>2.0512820512820513E-2</v>
      </c>
      <c r="M31" s="212">
        <v>6</v>
      </c>
      <c r="N31" s="213">
        <v>18</v>
      </c>
      <c r="O31" s="208">
        <f t="shared" ref="O31:O35" si="4">M31/N31</f>
        <v>0.33333333333333331</v>
      </c>
    </row>
    <row r="32" spans="1:15" ht="14.4">
      <c r="B32" s="434" t="s">
        <v>92</v>
      </c>
      <c r="C32" s="435"/>
      <c r="D32" s="207">
        <f>'One year follow-up_inperson'!Y5</f>
        <v>0</v>
      </c>
      <c r="E32" s="177">
        <v>366</v>
      </c>
      <c r="F32" s="208">
        <f t="shared" si="1"/>
        <v>0</v>
      </c>
      <c r="G32" s="209">
        <v>5</v>
      </c>
      <c r="H32" s="210">
        <v>40</v>
      </c>
      <c r="I32" s="208">
        <f t="shared" si="2"/>
        <v>0.125</v>
      </c>
      <c r="J32" s="212">
        <v>1</v>
      </c>
      <c r="K32" s="213">
        <v>144</v>
      </c>
      <c r="L32" s="208">
        <f t="shared" si="3"/>
        <v>6.9444444444444441E-3</v>
      </c>
      <c r="M32" s="212">
        <v>0</v>
      </c>
      <c r="N32" s="213">
        <v>13</v>
      </c>
      <c r="O32" s="208">
        <f t="shared" si="4"/>
        <v>0</v>
      </c>
    </row>
    <row r="33" spans="2:15" ht="14.4">
      <c r="B33" s="434" t="s">
        <v>107</v>
      </c>
      <c r="C33" s="435"/>
      <c r="D33" s="207">
        <v>36</v>
      </c>
      <c r="E33" s="177">
        <v>366</v>
      </c>
      <c r="F33" s="208">
        <f t="shared" si="1"/>
        <v>9.8360655737704916E-2</v>
      </c>
      <c r="G33" s="209">
        <v>74</v>
      </c>
      <c r="H33" s="210">
        <f>12+64+41+4+40</f>
        <v>161</v>
      </c>
      <c r="I33" s="208">
        <f t="shared" si="2"/>
        <v>0.45962732919254656</v>
      </c>
      <c r="J33" s="212">
        <v>2</v>
      </c>
      <c r="K33" s="213">
        <v>248</v>
      </c>
      <c r="L33" s="208">
        <f t="shared" si="3"/>
        <v>8.0645161290322578E-3</v>
      </c>
      <c r="M33" s="212">
        <f>'six months follow-up_in person'!S5</f>
        <v>0</v>
      </c>
      <c r="N33" s="213">
        <v>13</v>
      </c>
      <c r="O33" s="208">
        <f t="shared" si="4"/>
        <v>0</v>
      </c>
    </row>
    <row r="34" spans="2:15" ht="14.4">
      <c r="B34" s="434" t="s">
        <v>106</v>
      </c>
      <c r="C34" s="435"/>
      <c r="D34" s="207">
        <v>240</v>
      </c>
      <c r="E34" s="177">
        <v>366</v>
      </c>
      <c r="F34" s="208">
        <f t="shared" si="1"/>
        <v>0.65573770491803274</v>
      </c>
      <c r="G34" s="209">
        <v>279</v>
      </c>
      <c r="H34" s="210">
        <f>12+64+41+4+40</f>
        <v>161</v>
      </c>
      <c r="I34" s="208">
        <f t="shared" si="2"/>
        <v>1.7329192546583851</v>
      </c>
      <c r="J34" s="212">
        <v>205</v>
      </c>
      <c r="K34" s="213">
        <v>248</v>
      </c>
      <c r="L34" s="208">
        <f t="shared" si="3"/>
        <v>0.82661290322580649</v>
      </c>
      <c r="M34" s="212">
        <v>94</v>
      </c>
      <c r="N34" s="213">
        <v>99</v>
      </c>
      <c r="O34" s="208">
        <f t="shared" si="4"/>
        <v>0.9494949494949495</v>
      </c>
    </row>
    <row r="35" spans="2:15" ht="15" thickBot="1">
      <c r="B35" s="436" t="s">
        <v>30</v>
      </c>
      <c r="C35" s="437"/>
      <c r="D35" s="207">
        <v>245</v>
      </c>
      <c r="E35" s="215">
        <v>366</v>
      </c>
      <c r="F35" s="216">
        <f t="shared" si="1"/>
        <v>0.6693989071038251</v>
      </c>
      <c r="G35" s="209">
        <v>284</v>
      </c>
      <c r="H35" s="210">
        <f>12+64+41+4+40</f>
        <v>161</v>
      </c>
      <c r="I35" s="216">
        <f t="shared" si="2"/>
        <v>1.7639751552795031</v>
      </c>
      <c r="J35" s="212">
        <v>203</v>
      </c>
      <c r="K35" s="213">
        <v>248</v>
      </c>
      <c r="L35" s="216">
        <f t="shared" si="3"/>
        <v>0.81854838709677424</v>
      </c>
      <c r="M35" s="212">
        <v>97</v>
      </c>
      <c r="N35" s="213">
        <v>99</v>
      </c>
      <c r="O35" s="216">
        <f t="shared" si="4"/>
        <v>0.97979797979797978</v>
      </c>
    </row>
    <row r="36" spans="2:15" ht="180" customHeight="1" thickBot="1">
      <c r="B36" s="443" t="s">
        <v>110</v>
      </c>
      <c r="C36" s="444"/>
      <c r="D36" s="419" t="s">
        <v>148</v>
      </c>
      <c r="E36" s="420"/>
      <c r="F36" s="421"/>
      <c r="G36" s="419" t="s">
        <v>444</v>
      </c>
      <c r="H36" s="420"/>
      <c r="I36" s="421"/>
      <c r="J36" s="422"/>
      <c r="K36" s="420"/>
      <c r="L36" s="421"/>
      <c r="M36" s="422"/>
      <c r="N36" s="420"/>
      <c r="O36" s="421"/>
    </row>
    <row r="37" spans="2:15" ht="27" customHeight="1">
      <c r="B37" s="180"/>
      <c r="C37" s="180"/>
      <c r="D37" s="181"/>
      <c r="E37" s="177"/>
      <c r="F37" s="245"/>
      <c r="G37" s="176"/>
      <c r="H37" s="176"/>
      <c r="I37" s="245"/>
      <c r="J37" s="244"/>
      <c r="K37" s="181"/>
      <c r="L37" s="245"/>
      <c r="M37" s="244"/>
      <c r="N37" s="181"/>
      <c r="O37" s="245"/>
    </row>
    <row r="39" spans="2:15" ht="14.4" thickBot="1">
      <c r="D39" s="438" t="s">
        <v>89</v>
      </c>
      <c r="E39" s="438"/>
      <c r="F39" s="438"/>
      <c r="G39" s="438"/>
      <c r="H39" s="438"/>
      <c r="I39" s="438"/>
      <c r="J39" s="438"/>
      <c r="K39" s="438"/>
      <c r="L39" s="438"/>
      <c r="M39" s="438"/>
      <c r="N39" s="438"/>
      <c r="O39" s="438"/>
    </row>
    <row r="40" spans="2:15" ht="21.6" thickBot="1">
      <c r="B40" s="6"/>
      <c r="C40" s="6"/>
      <c r="D40" s="428" t="s">
        <v>86</v>
      </c>
      <c r="E40" s="429"/>
      <c r="F40" s="429"/>
      <c r="G40" s="414" t="s">
        <v>1</v>
      </c>
      <c r="H40" s="415"/>
      <c r="I40" s="415"/>
      <c r="J40" s="412" t="s">
        <v>87</v>
      </c>
      <c r="K40" s="413"/>
      <c r="L40" s="413"/>
      <c r="M40" s="416" t="s">
        <v>88</v>
      </c>
      <c r="N40" s="417"/>
      <c r="O40" s="418"/>
    </row>
    <row r="41" spans="2:15" ht="31.8" thickBot="1">
      <c r="B41" s="430" t="s">
        <v>108</v>
      </c>
      <c r="C41" s="431"/>
      <c r="D41" s="204" t="s">
        <v>103</v>
      </c>
      <c r="E41" s="206" t="s">
        <v>105</v>
      </c>
      <c r="F41" s="204" t="s">
        <v>74</v>
      </c>
      <c r="G41" s="203" t="s">
        <v>103</v>
      </c>
      <c r="H41" s="204" t="s">
        <v>105</v>
      </c>
      <c r="I41" s="205" t="s">
        <v>74</v>
      </c>
      <c r="J41" s="203" t="s">
        <v>103</v>
      </c>
      <c r="K41" s="204" t="s">
        <v>105</v>
      </c>
      <c r="L41" s="205" t="s">
        <v>74</v>
      </c>
      <c r="M41" s="203" t="s">
        <v>103</v>
      </c>
      <c r="N41" s="204" t="s">
        <v>105</v>
      </c>
      <c r="O41" s="205" t="s">
        <v>74</v>
      </c>
    </row>
    <row r="42" spans="2:15" ht="14.4">
      <c r="B42" s="432" t="s">
        <v>90</v>
      </c>
      <c r="C42" s="433"/>
      <c r="D42" s="212">
        <v>0</v>
      </c>
      <c r="E42" s="213">
        <v>0</v>
      </c>
      <c r="F42" s="208" t="e">
        <f>D42/E42</f>
        <v>#DIV/0!</v>
      </c>
      <c r="G42" s="209">
        <v>0</v>
      </c>
      <c r="H42" s="210">
        <v>15</v>
      </c>
      <c r="I42" s="208">
        <f>G42/H42</f>
        <v>0</v>
      </c>
      <c r="J42" s="212">
        <v>2</v>
      </c>
      <c r="K42" s="213">
        <v>25</v>
      </c>
      <c r="L42" s="208">
        <f>J42/K42</f>
        <v>0.08</v>
      </c>
      <c r="M42" s="212">
        <v>0</v>
      </c>
      <c r="N42" s="213">
        <v>0</v>
      </c>
      <c r="O42" s="208" t="e">
        <f>M42/N42</f>
        <v>#DIV/0!</v>
      </c>
    </row>
    <row r="43" spans="2:15" ht="14.4">
      <c r="B43" s="434" t="s">
        <v>91</v>
      </c>
      <c r="C43" s="435"/>
      <c r="D43" s="212">
        <v>0</v>
      </c>
      <c r="E43" s="213">
        <v>0</v>
      </c>
      <c r="F43" s="208" t="e">
        <f t="shared" ref="F43:F47" si="5">D43/E43</f>
        <v>#DIV/0!</v>
      </c>
      <c r="G43" s="209">
        <v>1</v>
      </c>
      <c r="H43" s="207">
        <v>15</v>
      </c>
      <c r="I43" s="208">
        <f>G43/H43</f>
        <v>6.6666666666666666E-2</v>
      </c>
      <c r="J43" s="212">
        <v>1</v>
      </c>
      <c r="K43" s="213">
        <v>17</v>
      </c>
      <c r="L43" s="208">
        <f t="shared" ref="L43:L47" si="6">J43/K43</f>
        <v>5.8823529411764705E-2</v>
      </c>
      <c r="M43" s="212">
        <v>0</v>
      </c>
      <c r="N43" s="213">
        <v>0</v>
      </c>
      <c r="O43" s="208" t="e">
        <f t="shared" ref="O43:O47" si="7">M43/N43</f>
        <v>#DIV/0!</v>
      </c>
    </row>
    <row r="44" spans="2:15" ht="14.4">
      <c r="B44" s="434" t="s">
        <v>92</v>
      </c>
      <c r="C44" s="435"/>
      <c r="D44" s="212">
        <v>0</v>
      </c>
      <c r="E44" s="213">
        <v>0</v>
      </c>
      <c r="F44" s="208" t="e">
        <f t="shared" si="5"/>
        <v>#DIV/0!</v>
      </c>
      <c r="G44" s="209">
        <v>0</v>
      </c>
      <c r="H44" s="207">
        <v>15</v>
      </c>
      <c r="I44" s="208">
        <f t="shared" ref="I44:I47" si="8">G44/H44</f>
        <v>0</v>
      </c>
      <c r="J44" s="212">
        <v>0</v>
      </c>
      <c r="K44" s="213">
        <v>17</v>
      </c>
      <c r="L44" s="208">
        <f t="shared" si="6"/>
        <v>0</v>
      </c>
      <c r="M44" s="212">
        <v>0</v>
      </c>
      <c r="N44" s="213">
        <v>0</v>
      </c>
      <c r="O44" s="208" t="e">
        <f t="shared" si="7"/>
        <v>#DIV/0!</v>
      </c>
    </row>
    <row r="45" spans="2:15" ht="14.4">
      <c r="B45" s="434" t="s">
        <v>107</v>
      </c>
      <c r="C45" s="435"/>
      <c r="D45" s="212">
        <v>0</v>
      </c>
      <c r="E45" s="213">
        <v>0</v>
      </c>
      <c r="F45" s="208" t="e">
        <f t="shared" si="5"/>
        <v>#DIV/0!</v>
      </c>
      <c r="G45" s="209">
        <v>8</v>
      </c>
      <c r="H45" s="207">
        <v>15</v>
      </c>
      <c r="I45" s="208">
        <f t="shared" si="8"/>
        <v>0.53333333333333333</v>
      </c>
      <c r="J45" s="212" t="e">
        <f>#REF!</f>
        <v>#REF!</v>
      </c>
      <c r="K45" s="213">
        <v>25</v>
      </c>
      <c r="L45" s="208" t="e">
        <f t="shared" si="6"/>
        <v>#REF!</v>
      </c>
      <c r="M45" s="212">
        <v>0</v>
      </c>
      <c r="N45" s="213">
        <v>0</v>
      </c>
      <c r="O45" s="208" t="e">
        <f t="shared" si="7"/>
        <v>#DIV/0!</v>
      </c>
    </row>
    <row r="46" spans="2:15" ht="14.4">
      <c r="B46" s="434" t="s">
        <v>106</v>
      </c>
      <c r="C46" s="435"/>
      <c r="D46" s="212">
        <v>0</v>
      </c>
      <c r="E46" s="213">
        <v>0</v>
      </c>
      <c r="F46" s="208" t="e">
        <f t="shared" si="5"/>
        <v>#DIV/0!</v>
      </c>
      <c r="G46" s="209">
        <v>163</v>
      </c>
      <c r="H46" s="207">
        <v>15</v>
      </c>
      <c r="I46" s="208">
        <f t="shared" si="8"/>
        <v>10.866666666666667</v>
      </c>
      <c r="J46" s="212">
        <v>20</v>
      </c>
      <c r="K46" s="213">
        <v>25</v>
      </c>
      <c r="L46" s="208">
        <f t="shared" si="6"/>
        <v>0.8</v>
      </c>
      <c r="M46" s="212">
        <v>0</v>
      </c>
      <c r="N46" s="213">
        <v>0</v>
      </c>
      <c r="O46" s="208" t="e">
        <f t="shared" si="7"/>
        <v>#DIV/0!</v>
      </c>
    </row>
    <row r="47" spans="2:15" ht="15" thickBot="1">
      <c r="B47" s="436" t="s">
        <v>30</v>
      </c>
      <c r="C47" s="437"/>
      <c r="D47" s="212">
        <v>0</v>
      </c>
      <c r="E47" s="220">
        <v>0</v>
      </c>
      <c r="F47" s="216" t="e">
        <f t="shared" si="5"/>
        <v>#DIV/0!</v>
      </c>
      <c r="G47" s="209">
        <v>172</v>
      </c>
      <c r="H47" s="218">
        <v>15</v>
      </c>
      <c r="I47" s="216">
        <f t="shared" si="8"/>
        <v>11.466666666666667</v>
      </c>
      <c r="J47" s="212">
        <v>20</v>
      </c>
      <c r="K47" s="220">
        <v>25</v>
      </c>
      <c r="L47" s="216">
        <f t="shared" si="6"/>
        <v>0.8</v>
      </c>
      <c r="M47" s="212">
        <v>0</v>
      </c>
      <c r="N47" s="220">
        <v>0</v>
      </c>
      <c r="O47" s="216" t="e">
        <f t="shared" si="7"/>
        <v>#DIV/0!</v>
      </c>
    </row>
    <row r="48" spans="2:15" ht="124.2" customHeight="1" thickBot="1">
      <c r="B48" s="443" t="s">
        <v>110</v>
      </c>
      <c r="C48" s="444"/>
      <c r="D48" s="419" t="s">
        <v>134</v>
      </c>
      <c r="E48" s="420"/>
      <c r="F48" s="421"/>
      <c r="G48" s="445" t="s">
        <v>149</v>
      </c>
      <c r="H48" s="446"/>
      <c r="I48" s="447"/>
      <c r="J48" s="419"/>
      <c r="K48" s="420"/>
      <c r="L48" s="421"/>
      <c r="M48" s="448"/>
      <c r="N48" s="449"/>
      <c r="O48" s="450"/>
    </row>
    <row r="51" spans="1:8" s="62" customFormat="1">
      <c r="A51" s="259"/>
      <c r="B51" s="452"/>
      <c r="C51" s="453"/>
      <c r="D51" s="141"/>
      <c r="E51" s="141"/>
      <c r="F51" s="141"/>
      <c r="G51" s="141"/>
    </row>
    <row r="52" spans="1:8" s="62" customFormat="1" ht="15" thickBot="1">
      <c r="B52" s="454"/>
      <c r="C52" s="454"/>
      <c r="D52" s="260"/>
      <c r="E52" s="260"/>
      <c r="F52" s="256"/>
      <c r="G52" s="256"/>
    </row>
    <row r="53" spans="1:8" s="62" customFormat="1" ht="31.2" customHeight="1" thickBot="1">
      <c r="B53" s="440" t="s">
        <v>130</v>
      </c>
      <c r="C53" s="441"/>
      <c r="D53" s="441"/>
      <c r="E53" s="442"/>
      <c r="F53" s="256"/>
      <c r="G53" s="257"/>
    </row>
    <row r="54" spans="1:8" s="62" customFormat="1" ht="14.4">
      <c r="B54" s="261"/>
      <c r="C54" s="261"/>
      <c r="D54" s="257"/>
      <c r="E54" s="257"/>
      <c r="F54" s="256"/>
      <c r="G54" s="257"/>
    </row>
    <row r="55" spans="1:8" s="62" customFormat="1" ht="14.4">
      <c r="B55" s="257"/>
      <c r="C55" s="257"/>
      <c r="D55" s="257"/>
      <c r="E55" s="257"/>
      <c r="F55" s="256"/>
      <c r="G55" s="258"/>
    </row>
    <row r="56" spans="1:8" s="62" customFormat="1">
      <c r="B56" s="427"/>
      <c r="C56" s="427"/>
      <c r="D56" s="262"/>
      <c r="E56" s="260"/>
      <c r="F56" s="256"/>
      <c r="G56" s="256"/>
      <c r="H56" s="370"/>
    </row>
    <row r="57" spans="1:8" s="62" customFormat="1" ht="14.4">
      <c r="B57" s="455"/>
      <c r="C57" s="455"/>
      <c r="D57" s="257"/>
      <c r="E57" s="257"/>
      <c r="F57" s="256"/>
      <c r="G57" s="256"/>
    </row>
    <row r="58" spans="1:8" s="62" customFormat="1">
      <c r="B58" s="427"/>
      <c r="C58" s="427"/>
      <c r="D58" s="262"/>
      <c r="E58" s="262"/>
      <c r="F58" s="256"/>
      <c r="G58" s="256"/>
    </row>
    <row r="59" spans="1:8" s="62" customFormat="1">
      <c r="B59" s="427"/>
      <c r="C59" s="427"/>
      <c r="D59" s="262"/>
      <c r="E59" s="262"/>
      <c r="F59" s="256"/>
      <c r="G59" s="256"/>
    </row>
    <row r="60" spans="1:8" s="62" customFormat="1">
      <c r="B60" s="451"/>
      <c r="C60" s="451"/>
      <c r="D60" s="127"/>
      <c r="E60" s="139"/>
      <c r="F60" s="139"/>
      <c r="G60" s="181"/>
    </row>
  </sheetData>
  <mergeCells count="51">
    <mergeCell ref="B29:C29"/>
    <mergeCell ref="B30:C30"/>
    <mergeCell ref="B31:C31"/>
    <mergeCell ref="B60:C60"/>
    <mergeCell ref="B36:C36"/>
    <mergeCell ref="B51:C51"/>
    <mergeCell ref="B52:C52"/>
    <mergeCell ref="B57:C57"/>
    <mergeCell ref="B56:C56"/>
    <mergeCell ref="B58:C58"/>
    <mergeCell ref="B34:C34"/>
    <mergeCell ref="B35:C35"/>
    <mergeCell ref="D36:F36"/>
    <mergeCell ref="B48:C48"/>
    <mergeCell ref="D48:F48"/>
    <mergeCell ref="B47:C47"/>
    <mergeCell ref="B41:C41"/>
    <mergeCell ref="B42:C42"/>
    <mergeCell ref="B43:C43"/>
    <mergeCell ref="B44:C44"/>
    <mergeCell ref="B45:C45"/>
    <mergeCell ref="B46:C46"/>
    <mergeCell ref="D39:O39"/>
    <mergeCell ref="G48:I48"/>
    <mergeCell ref="J48:L48"/>
    <mergeCell ref="M48:O48"/>
    <mergeCell ref="D15:F15"/>
    <mergeCell ref="D16:F16"/>
    <mergeCell ref="B59:C59"/>
    <mergeCell ref="D28:F28"/>
    <mergeCell ref="D40:F40"/>
    <mergeCell ref="B17:C17"/>
    <mergeCell ref="B18:C18"/>
    <mergeCell ref="B19:C19"/>
    <mergeCell ref="B20:C20"/>
    <mergeCell ref="B32:C32"/>
    <mergeCell ref="B21:C21"/>
    <mergeCell ref="B22:C22"/>
    <mergeCell ref="B23:C23"/>
    <mergeCell ref="B33:C33"/>
    <mergeCell ref="D27:O27"/>
    <mergeCell ref="B53:E53"/>
    <mergeCell ref="J28:L28"/>
    <mergeCell ref="G28:I28"/>
    <mergeCell ref="M28:O28"/>
    <mergeCell ref="G40:I40"/>
    <mergeCell ref="J40:L40"/>
    <mergeCell ref="M40:O40"/>
    <mergeCell ref="G36:I36"/>
    <mergeCell ref="J36:L36"/>
    <mergeCell ref="M36:O36"/>
  </mergeCells>
  <pageMargins left="0.7" right="0.7" top="0.75" bottom="0.75" header="0.3" footer="0.3"/>
  <pageSetup paperSize="9"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503"/>
  <sheetViews>
    <sheetView topLeftCell="A14" zoomScale="69" workbookViewId="0">
      <selection activeCell="D21" sqref="D21:D22"/>
    </sheetView>
  </sheetViews>
  <sheetFormatPr defaultColWidth="11" defaultRowHeight="13.8"/>
  <cols>
    <col min="2" max="2" width="17.296875" customWidth="1"/>
    <col min="3" max="3" width="28.5" style="124" customWidth="1"/>
    <col min="4" max="4" width="21.3984375" style="122" customWidth="1"/>
    <col min="5" max="5" width="16.09765625" customWidth="1"/>
    <col min="6" max="6" width="18.3984375" style="122" customWidth="1"/>
    <col min="7" max="7" width="46.796875" customWidth="1"/>
    <col min="17" max="17" width="28.296875" customWidth="1"/>
    <col min="18" max="18" width="15.09765625" style="62" customWidth="1"/>
    <col min="19" max="19" width="29.3984375" style="62" customWidth="1"/>
    <col min="20" max="20" width="2.69921875" style="62" customWidth="1"/>
    <col min="21" max="21" width="26.09765625" style="62" customWidth="1"/>
    <col min="22" max="23" width="11" style="62"/>
    <col min="24" max="24" width="24.59765625" style="62" customWidth="1"/>
    <col min="25" max="26" width="11" style="62"/>
    <col min="27" max="27" width="23.296875" style="62" customWidth="1"/>
    <col min="28" max="16384" width="11" style="62"/>
  </cols>
  <sheetData>
    <row r="1" spans="1:27" ht="41.4">
      <c r="A1" s="129" t="s">
        <v>98</v>
      </c>
      <c r="B1" s="126" t="s">
        <v>73</v>
      </c>
      <c r="C1" s="462" t="s">
        <v>69</v>
      </c>
      <c r="D1" s="463"/>
      <c r="E1" s="125" t="s">
        <v>55</v>
      </c>
      <c r="F1" s="136" t="s">
        <v>94</v>
      </c>
      <c r="G1" s="136" t="s">
        <v>96</v>
      </c>
      <c r="H1" s="136" t="s">
        <v>97</v>
      </c>
      <c r="I1" s="461" t="s">
        <v>95</v>
      </c>
      <c r="J1" s="461"/>
      <c r="K1" s="461"/>
      <c r="L1" s="461"/>
      <c r="M1" s="461"/>
      <c r="P1" s="64"/>
      <c r="Q1" s="328" t="s">
        <v>0</v>
      </c>
      <c r="R1" s="319"/>
    </row>
    <row r="2" spans="1:27" ht="15.6">
      <c r="A2" s="130">
        <v>0.6</v>
      </c>
      <c r="B2" s="125">
        <v>1</v>
      </c>
      <c r="C2" s="464"/>
      <c r="D2" s="465"/>
      <c r="E2" s="305"/>
      <c r="F2" s="305"/>
      <c r="G2" s="305"/>
      <c r="H2" s="195"/>
      <c r="I2" s="460"/>
      <c r="J2" s="460"/>
      <c r="K2" s="460"/>
      <c r="L2" s="460"/>
      <c r="M2" s="460"/>
      <c r="P2" s="64"/>
      <c r="Q2" s="340" t="s">
        <v>2</v>
      </c>
      <c r="R2" s="363" t="e">
        <f>COUNTIF(#REF!, "Female")</f>
        <v>#REF!</v>
      </c>
      <c r="U2" s="321"/>
      <c r="X2" s="321"/>
      <c r="AA2" s="321"/>
    </row>
    <row r="3" spans="1:27" ht="15.6">
      <c r="B3" s="125">
        <v>2</v>
      </c>
      <c r="C3" s="464"/>
      <c r="D3" s="465"/>
      <c r="E3" s="305"/>
      <c r="F3" s="305"/>
      <c r="G3" s="305"/>
      <c r="H3" s="277"/>
      <c r="I3" s="460"/>
      <c r="J3" s="460"/>
      <c r="K3" s="460"/>
      <c r="L3" s="460"/>
      <c r="M3" s="460"/>
      <c r="P3" s="64"/>
      <c r="Q3" s="340" t="s">
        <v>4</v>
      </c>
      <c r="R3" s="363" t="e">
        <f>COUNTIF(#REF!, "Male")</f>
        <v>#REF!</v>
      </c>
      <c r="U3" s="321"/>
    </row>
    <row r="4" spans="1:27" ht="15.6">
      <c r="B4" s="125">
        <v>3</v>
      </c>
      <c r="C4" s="464"/>
      <c r="D4" s="465"/>
      <c r="E4" s="305"/>
      <c r="F4" s="305"/>
      <c r="G4" s="305"/>
      <c r="H4" s="277"/>
      <c r="I4" s="460"/>
      <c r="J4" s="460"/>
      <c r="K4" s="460"/>
      <c r="L4" s="460"/>
      <c r="M4" s="460"/>
      <c r="P4" s="64"/>
      <c r="Q4" s="361" t="s">
        <v>85</v>
      </c>
      <c r="R4" s="363" t="e">
        <f>SUM(R2:R3)</f>
        <v>#REF!</v>
      </c>
      <c r="S4" s="362" t="e">
        <f>H19=R4</f>
        <v>#REF!</v>
      </c>
      <c r="U4" s="321"/>
    </row>
    <row r="5" spans="1:27" ht="15.6">
      <c r="B5" s="125">
        <v>4</v>
      </c>
      <c r="C5" s="464"/>
      <c r="D5" s="465"/>
      <c r="E5" s="305"/>
      <c r="F5" s="305"/>
      <c r="G5" s="303"/>
      <c r="H5" s="277"/>
      <c r="I5" s="460"/>
      <c r="J5" s="460"/>
      <c r="K5" s="460"/>
      <c r="L5" s="460"/>
      <c r="M5" s="460"/>
      <c r="P5" s="64"/>
      <c r="R5" s="364"/>
      <c r="U5" s="321"/>
    </row>
    <row r="6" spans="1:27" ht="15.6">
      <c r="B6" s="125">
        <v>5</v>
      </c>
      <c r="C6" s="464"/>
      <c r="D6" s="465"/>
      <c r="E6" s="307"/>
      <c r="F6" s="305"/>
      <c r="G6" s="305"/>
      <c r="H6" s="277"/>
      <c r="I6" s="460"/>
      <c r="J6" s="460"/>
      <c r="K6" s="460"/>
      <c r="L6" s="460"/>
      <c r="M6" s="460"/>
      <c r="P6" s="64"/>
      <c r="R6" s="364"/>
      <c r="U6" s="321"/>
    </row>
    <row r="7" spans="1:27" ht="15.6">
      <c r="B7" s="125">
        <v>6</v>
      </c>
      <c r="C7" s="466"/>
      <c r="D7" s="466"/>
      <c r="E7" s="307"/>
      <c r="F7" s="305"/>
      <c r="G7" s="305"/>
      <c r="H7" s="195"/>
      <c r="I7" s="460"/>
      <c r="J7" s="460"/>
      <c r="K7" s="460"/>
      <c r="L7" s="460"/>
      <c r="M7" s="460"/>
      <c r="P7" s="64"/>
      <c r="R7" s="364"/>
      <c r="U7" s="321"/>
    </row>
    <row r="8" spans="1:27" ht="15.6">
      <c r="B8" s="125">
        <v>7</v>
      </c>
      <c r="C8" s="466"/>
      <c r="D8" s="466"/>
      <c r="E8" s="307"/>
      <c r="F8" s="307"/>
      <c r="G8" s="307"/>
      <c r="H8" s="278"/>
      <c r="I8" s="460"/>
      <c r="J8" s="460"/>
      <c r="K8" s="460"/>
      <c r="L8" s="460"/>
      <c r="M8" s="460"/>
      <c r="P8" s="64"/>
      <c r="R8" s="364"/>
      <c r="U8" s="321"/>
    </row>
    <row r="9" spans="1:27" ht="15.6">
      <c r="B9" s="125">
        <v>8</v>
      </c>
      <c r="C9" s="464"/>
      <c r="D9" s="465"/>
      <c r="E9" s="307"/>
      <c r="F9" s="307"/>
      <c r="G9" s="305"/>
      <c r="H9" s="278"/>
      <c r="I9" s="460"/>
      <c r="J9" s="460"/>
      <c r="K9" s="460"/>
      <c r="L9" s="460"/>
      <c r="M9" s="460"/>
      <c r="P9" s="64"/>
      <c r="R9" s="364"/>
      <c r="U9" s="321"/>
      <c r="V9" s="322"/>
      <c r="X9" s="321"/>
      <c r="Y9" s="322"/>
    </row>
    <row r="10" spans="1:27" ht="15.6">
      <c r="B10" s="125">
        <v>9</v>
      </c>
      <c r="C10" s="464"/>
      <c r="D10" s="465"/>
      <c r="E10" s="307"/>
      <c r="F10" s="307"/>
      <c r="G10" s="305"/>
      <c r="H10" s="278"/>
      <c r="I10" s="195"/>
      <c r="J10" s="195"/>
      <c r="K10" s="195"/>
      <c r="L10" s="195"/>
      <c r="M10" s="195"/>
      <c r="P10" s="64"/>
      <c r="R10" s="364"/>
      <c r="U10" s="321"/>
      <c r="V10" s="322"/>
      <c r="X10" s="321"/>
      <c r="Y10" s="322"/>
    </row>
    <row r="11" spans="1:27" ht="15.6">
      <c r="B11" s="125">
        <v>10</v>
      </c>
      <c r="C11" s="464"/>
      <c r="D11" s="465"/>
      <c r="E11" s="307"/>
      <c r="F11" s="307"/>
      <c r="G11" s="305"/>
      <c r="H11" s="278"/>
      <c r="I11" s="195"/>
      <c r="J11" s="195"/>
      <c r="K11" s="195"/>
      <c r="L11" s="195"/>
      <c r="M11" s="195"/>
      <c r="P11" s="64"/>
      <c r="R11" s="364"/>
      <c r="U11" s="321"/>
      <c r="V11" s="322"/>
      <c r="X11" s="321"/>
      <c r="Y11" s="322"/>
    </row>
    <row r="12" spans="1:27" ht="15.6">
      <c r="B12" s="125">
        <v>11</v>
      </c>
      <c r="C12" s="464"/>
      <c r="D12" s="465"/>
      <c r="E12" s="307"/>
      <c r="F12" s="307"/>
      <c r="G12" s="303"/>
      <c r="H12" s="278"/>
      <c r="I12" s="195"/>
      <c r="J12" s="195"/>
      <c r="K12" s="195"/>
      <c r="L12" s="195"/>
      <c r="M12" s="195"/>
      <c r="P12" s="64"/>
      <c r="R12" s="364"/>
      <c r="U12" s="321"/>
      <c r="V12" s="322"/>
      <c r="X12" s="321"/>
      <c r="Y12" s="322"/>
    </row>
    <row r="13" spans="1:27" ht="15.6">
      <c r="B13" s="132"/>
      <c r="C13" s="332"/>
      <c r="D13" s="332"/>
      <c r="E13" s="333"/>
      <c r="F13" s="333"/>
      <c r="G13" s="334"/>
      <c r="H13" s="335"/>
      <c r="I13" s="336"/>
      <c r="J13" s="336"/>
      <c r="K13" s="336"/>
      <c r="L13" s="336"/>
      <c r="M13" s="336"/>
      <c r="P13" s="64"/>
      <c r="R13" s="319"/>
      <c r="U13" s="321"/>
      <c r="V13" s="322"/>
      <c r="X13" s="321"/>
      <c r="Y13" s="322"/>
    </row>
    <row r="14" spans="1:27" ht="15.6">
      <c r="B14" s="132"/>
      <c r="C14" s="332"/>
      <c r="D14" s="332"/>
      <c r="E14" s="333"/>
      <c r="F14" s="333"/>
      <c r="G14" s="334"/>
      <c r="H14" s="335"/>
      <c r="I14" s="336"/>
      <c r="J14" s="336"/>
      <c r="K14" s="336"/>
      <c r="L14" s="336"/>
      <c r="M14" s="336"/>
      <c r="P14" s="64"/>
      <c r="R14" s="319"/>
      <c r="U14" s="321"/>
      <c r="V14" s="322"/>
      <c r="X14" s="321"/>
      <c r="Y14" s="322"/>
    </row>
    <row r="15" spans="1:27" ht="15.6">
      <c r="B15" s="132"/>
      <c r="C15" s="332"/>
      <c r="D15" s="332"/>
      <c r="E15" s="333"/>
      <c r="F15" s="333"/>
      <c r="G15" s="334"/>
      <c r="H15" s="335"/>
      <c r="I15" s="336"/>
      <c r="J15" s="336"/>
      <c r="K15" s="336"/>
      <c r="L15" s="336"/>
      <c r="M15" s="336"/>
      <c r="P15" s="64"/>
      <c r="R15" s="319"/>
      <c r="U15" s="321"/>
      <c r="V15" s="322"/>
      <c r="X15" s="321"/>
      <c r="Y15" s="322"/>
    </row>
    <row r="16" spans="1:27" ht="15.6">
      <c r="B16" s="132"/>
      <c r="C16" s="332"/>
      <c r="D16" s="332"/>
      <c r="E16" s="333"/>
      <c r="F16" s="333"/>
      <c r="G16" s="334"/>
      <c r="H16" s="335"/>
      <c r="I16" s="336"/>
      <c r="J16" s="336"/>
      <c r="K16" s="336"/>
      <c r="L16" s="336"/>
      <c r="M16" s="336"/>
      <c r="P16" s="64"/>
      <c r="R16" s="319"/>
      <c r="U16" s="321"/>
      <c r="V16" s="322"/>
      <c r="X16" s="321"/>
      <c r="Y16" s="322"/>
    </row>
    <row r="17" spans="1:26" ht="14.4">
      <c r="A17" s="22"/>
      <c r="B17" s="67"/>
      <c r="C17" s="123"/>
      <c r="D17" s="80"/>
      <c r="E17" s="68"/>
      <c r="F17" s="60"/>
      <c r="G17" s="111"/>
      <c r="H17" s="112"/>
      <c r="I17" s="112"/>
      <c r="J17" s="112"/>
      <c r="K17" s="112"/>
      <c r="L17" s="113"/>
      <c r="M17" s="22"/>
      <c r="N17" s="22"/>
      <c r="O17" s="22"/>
      <c r="P17" s="67"/>
      <c r="Q17" s="22"/>
      <c r="R17" s="320"/>
      <c r="S17" s="68"/>
      <c r="T17" s="68"/>
      <c r="U17" s="68"/>
      <c r="V17" s="68"/>
      <c r="W17" s="68"/>
      <c r="X17" s="68"/>
      <c r="Y17" s="68"/>
      <c r="Z17" s="68"/>
    </row>
    <row r="18" spans="1:26" ht="14.4">
      <c r="A18" s="22"/>
      <c r="B18" s="67"/>
      <c r="C18" s="123"/>
      <c r="D18" s="80"/>
      <c r="E18" s="68"/>
      <c r="F18" s="60"/>
      <c r="G18" s="70" t="s">
        <v>32</v>
      </c>
      <c r="H18" s="70"/>
      <c r="I18" s="70"/>
      <c r="J18" s="70"/>
      <c r="K18" s="70"/>
      <c r="L18" s="71"/>
      <c r="M18" s="22"/>
      <c r="N18" s="22"/>
      <c r="O18" s="22"/>
      <c r="P18" s="67"/>
      <c r="Q18" s="22"/>
      <c r="R18" s="320"/>
      <c r="S18" s="68"/>
      <c r="T18" s="68"/>
      <c r="U18" s="68"/>
      <c r="V18" s="68"/>
      <c r="W18" s="68"/>
      <c r="X18" s="68"/>
      <c r="Y18" s="68"/>
      <c r="Z18" s="68"/>
    </row>
    <row r="19" spans="1:26" ht="14.4">
      <c r="A19" s="22"/>
      <c r="B19" s="67"/>
      <c r="C19" s="123"/>
      <c r="D19" s="80"/>
      <c r="E19" s="68"/>
      <c r="F19" s="60"/>
      <c r="G19" s="72" t="s">
        <v>21</v>
      </c>
      <c r="H19" s="161">
        <f>SUM(G2:G15)</f>
        <v>0</v>
      </c>
      <c r="I19" s="135" t="e">
        <f>H19=#REF!</f>
        <v>#REF!</v>
      </c>
      <c r="J19" s="73"/>
      <c r="K19" s="73"/>
      <c r="L19" s="74"/>
      <c r="M19" s="22"/>
      <c r="N19" s="22"/>
      <c r="O19" s="22"/>
      <c r="P19" s="67"/>
      <c r="Q19" s="22"/>
      <c r="R19" s="320"/>
      <c r="S19" s="68"/>
      <c r="T19" s="68"/>
      <c r="U19" s="68"/>
      <c r="V19" s="68"/>
      <c r="W19" s="68"/>
      <c r="X19" s="68"/>
      <c r="Y19" s="68"/>
      <c r="Z19" s="68"/>
    </row>
    <row r="20" spans="1:26" ht="14.4">
      <c r="A20" s="22"/>
      <c r="B20" s="66"/>
      <c r="C20" s="123"/>
      <c r="D20" s="80"/>
      <c r="E20" s="68"/>
      <c r="F20" s="131"/>
      <c r="G20" s="75"/>
      <c r="H20" s="76"/>
      <c r="I20" s="76"/>
      <c r="J20" s="76"/>
      <c r="K20" s="76"/>
      <c r="L20" s="69"/>
      <c r="M20" s="22"/>
      <c r="N20" s="22"/>
      <c r="O20" s="22"/>
      <c r="P20" s="67"/>
      <c r="Q20" s="22"/>
      <c r="R20" s="320"/>
      <c r="S20" s="68"/>
      <c r="T20" s="68"/>
      <c r="U20" s="68"/>
      <c r="V20" s="68"/>
      <c r="W20" s="68"/>
      <c r="X20" s="68"/>
      <c r="Y20" s="68"/>
      <c r="Z20" s="68"/>
    </row>
    <row r="21" spans="1:26" s="323" customFormat="1" ht="240" customHeight="1">
      <c r="A21" s="456" t="s">
        <v>22</v>
      </c>
      <c r="B21" s="457" t="s">
        <v>23</v>
      </c>
      <c r="C21" s="458" t="s">
        <v>24</v>
      </c>
      <c r="D21" s="458" t="s">
        <v>0</v>
      </c>
      <c r="E21" s="458" t="s">
        <v>84</v>
      </c>
      <c r="F21" s="458" t="s">
        <v>25</v>
      </c>
      <c r="G21" s="315" t="s">
        <v>26</v>
      </c>
      <c r="H21" s="459" t="s">
        <v>70</v>
      </c>
      <c r="I21" s="459"/>
      <c r="J21" s="459"/>
      <c r="K21" s="459" t="s">
        <v>27</v>
      </c>
      <c r="L21" s="459"/>
      <c r="M21" s="459"/>
      <c r="N21" s="459"/>
      <c r="O21" s="459"/>
      <c r="P21" s="459" t="s">
        <v>30</v>
      </c>
      <c r="Q21" s="316" t="s">
        <v>33</v>
      </c>
      <c r="R21" s="459" t="s">
        <v>34</v>
      </c>
    </row>
    <row r="22" spans="1:26" s="323" customFormat="1" ht="81" customHeight="1">
      <c r="A22" s="456"/>
      <c r="B22" s="457"/>
      <c r="C22" s="458"/>
      <c r="D22" s="458"/>
      <c r="E22" s="458"/>
      <c r="F22" s="458"/>
      <c r="G22" s="315"/>
      <c r="H22" s="317" t="str">
        <f>'six months follow-up_in person'!J27</f>
        <v>Increase in self-awareness and confidence</v>
      </c>
      <c r="I22" s="317" t="str">
        <f>'six months follow-up_in person'!K27</f>
        <v xml:space="preserve">Increase in decision making power </v>
      </c>
      <c r="J22" s="317" t="str">
        <f>'six months follow-up_in person'!L27</f>
        <v xml:space="preserve">Increase in resilience </v>
      </c>
      <c r="K22" s="317" t="s">
        <v>83</v>
      </c>
      <c r="L22" s="317" t="str">
        <f>'six months follow-up_in person'!N27</f>
        <v>Started a Business</v>
      </c>
      <c r="M22" s="318" t="str">
        <f>'six months follow-up_in person'!O27</f>
        <v>Got a Job/Promotion</v>
      </c>
      <c r="N22" s="318" t="str">
        <f>'six months follow-up_in person'!P27</f>
        <v>Got an Academic Opportunity</v>
      </c>
      <c r="O22" s="318" t="str">
        <f>'six months follow-up_in person'!Q27</f>
        <v>Got a Leadership role</v>
      </c>
      <c r="P22" s="459"/>
      <c r="Q22" s="316"/>
      <c r="R22" s="459"/>
      <c r="S22" s="350" t="s">
        <v>126</v>
      </c>
    </row>
    <row r="23" spans="1:26" ht="14.4">
      <c r="B23" s="66"/>
      <c r="G23" s="56"/>
      <c r="H23" s="56"/>
      <c r="I23" s="56"/>
      <c r="J23" s="56"/>
      <c r="K23" s="56"/>
      <c r="Q23" s="22"/>
      <c r="R23" s="134"/>
    </row>
    <row r="24" spans="1:26" ht="14.4">
      <c r="B24" s="66"/>
      <c r="G24" s="56"/>
      <c r="H24" s="56"/>
      <c r="I24" s="56"/>
      <c r="J24" s="56"/>
      <c r="K24" s="56"/>
      <c r="Q24" s="22"/>
      <c r="R24" s="134"/>
    </row>
    <row r="25" spans="1:26" ht="14.4">
      <c r="B25" s="66"/>
      <c r="G25" s="56"/>
      <c r="H25" s="56"/>
      <c r="I25" s="56"/>
      <c r="J25" s="56"/>
      <c r="K25" s="56"/>
      <c r="Q25" s="22"/>
      <c r="R25" s="134"/>
    </row>
    <row r="26" spans="1:26" ht="14.4">
      <c r="B26" s="66"/>
      <c r="G26" s="56"/>
      <c r="H26" s="56"/>
      <c r="I26" s="56"/>
      <c r="J26" s="56"/>
      <c r="K26" s="56"/>
      <c r="Q26" s="22"/>
      <c r="R26" s="134"/>
    </row>
    <row r="27" spans="1:26" ht="14.4">
      <c r="B27" s="66"/>
      <c r="G27" s="56"/>
      <c r="H27" s="56"/>
      <c r="I27" s="56"/>
      <c r="J27" s="56"/>
      <c r="K27" s="56"/>
      <c r="Q27" s="22"/>
      <c r="R27" s="134"/>
    </row>
    <row r="28" spans="1:26" ht="14.4">
      <c r="B28" s="66"/>
      <c r="G28" s="56"/>
      <c r="H28" s="56"/>
      <c r="I28" s="56"/>
      <c r="J28" s="56"/>
      <c r="K28" s="56"/>
      <c r="Q28" s="22"/>
      <c r="R28" s="134"/>
    </row>
    <row r="29" spans="1:26" ht="14.4">
      <c r="B29" s="66"/>
      <c r="G29" s="56"/>
      <c r="H29" s="56"/>
      <c r="I29" s="56"/>
      <c r="J29" s="56"/>
      <c r="K29" s="56"/>
      <c r="Q29" s="22"/>
      <c r="R29" s="134"/>
    </row>
    <row r="30" spans="1:26" ht="14.4">
      <c r="B30" s="66"/>
      <c r="G30" s="56"/>
      <c r="H30" s="56"/>
      <c r="I30" s="56"/>
      <c r="J30" s="56"/>
      <c r="K30" s="56"/>
      <c r="Q30" s="22"/>
      <c r="R30" s="134"/>
    </row>
    <row r="31" spans="1:26" ht="14.4">
      <c r="B31" s="66"/>
      <c r="G31" s="56"/>
      <c r="H31" s="56"/>
      <c r="I31" s="56"/>
      <c r="J31" s="56"/>
      <c r="K31" s="56"/>
      <c r="Q31" s="22"/>
      <c r="R31" s="134"/>
    </row>
    <row r="32" spans="1:26" ht="14.4">
      <c r="B32" s="66"/>
      <c r="G32" s="56"/>
      <c r="H32" s="56"/>
      <c r="I32" s="56"/>
      <c r="J32" s="56"/>
      <c r="K32" s="56"/>
      <c r="Q32" s="22"/>
      <c r="R32" s="134"/>
    </row>
    <row r="33" spans="2:18" ht="14.4">
      <c r="B33" s="66"/>
      <c r="G33" s="56"/>
      <c r="H33" s="56"/>
      <c r="I33" s="56"/>
      <c r="J33" s="56"/>
      <c r="K33" s="56"/>
      <c r="Q33" s="22"/>
      <c r="R33" s="134"/>
    </row>
    <row r="34" spans="2:18" ht="14.4">
      <c r="B34" s="66"/>
      <c r="G34" s="56"/>
      <c r="H34" s="56"/>
      <c r="I34" s="56"/>
      <c r="J34" s="56"/>
      <c r="K34" s="56"/>
      <c r="Q34" s="22"/>
      <c r="R34" s="134"/>
    </row>
    <row r="35" spans="2:18" ht="14.4">
      <c r="B35" s="66"/>
      <c r="G35" s="56"/>
      <c r="H35" s="56"/>
      <c r="I35" s="56"/>
      <c r="J35" s="56"/>
      <c r="K35" s="56"/>
      <c r="Q35" s="22"/>
      <c r="R35" s="134"/>
    </row>
    <row r="36" spans="2:18" ht="14.4">
      <c r="B36" s="66"/>
      <c r="G36" s="56"/>
      <c r="H36" s="56"/>
      <c r="I36" s="56"/>
      <c r="J36" s="56"/>
      <c r="K36" s="56"/>
      <c r="Q36" s="22"/>
      <c r="R36" s="134"/>
    </row>
    <row r="37" spans="2:18" ht="14.4">
      <c r="B37" s="66"/>
      <c r="G37" s="56"/>
      <c r="H37" s="56"/>
      <c r="I37" s="56"/>
      <c r="J37" s="56"/>
      <c r="K37" s="56"/>
      <c r="Q37" s="22"/>
      <c r="R37" s="134"/>
    </row>
    <row r="38" spans="2:18" ht="14.4">
      <c r="B38" s="66"/>
      <c r="G38" s="56"/>
      <c r="H38" s="56"/>
      <c r="I38" s="56"/>
      <c r="J38" s="56"/>
      <c r="K38" s="56"/>
      <c r="Q38" s="22"/>
      <c r="R38" s="134"/>
    </row>
    <row r="39" spans="2:18" ht="14.4">
      <c r="B39" s="66"/>
      <c r="G39" s="56"/>
      <c r="H39" s="56"/>
      <c r="I39" s="56"/>
      <c r="J39" s="56"/>
      <c r="K39" s="56"/>
      <c r="Q39" s="22"/>
      <c r="R39" s="134"/>
    </row>
    <row r="40" spans="2:18" ht="14.4">
      <c r="B40" s="66"/>
      <c r="G40" s="56"/>
      <c r="H40" s="56"/>
      <c r="I40" s="56"/>
      <c r="J40" s="56"/>
      <c r="K40" s="56"/>
      <c r="Q40" s="22"/>
      <c r="R40" s="134"/>
    </row>
    <row r="41" spans="2:18" ht="14.4">
      <c r="B41" s="66"/>
      <c r="G41" s="56"/>
      <c r="H41" s="56"/>
      <c r="I41" s="56"/>
      <c r="J41" s="56"/>
      <c r="K41" s="56"/>
      <c r="Q41" s="22"/>
      <c r="R41" s="134"/>
    </row>
    <row r="42" spans="2:18" ht="14.4">
      <c r="B42" s="66"/>
      <c r="G42" s="56"/>
      <c r="H42" s="56"/>
      <c r="I42" s="56"/>
      <c r="J42" s="56"/>
      <c r="K42" s="56"/>
      <c r="Q42" s="22"/>
      <c r="R42" s="134"/>
    </row>
    <row r="43" spans="2:18" ht="14.4">
      <c r="B43" s="66"/>
      <c r="G43" s="56"/>
      <c r="H43" s="56"/>
      <c r="I43" s="56"/>
      <c r="J43" s="56"/>
      <c r="K43" s="56"/>
      <c r="Q43" s="22"/>
      <c r="R43" s="134"/>
    </row>
    <row r="44" spans="2:18" ht="14.4">
      <c r="B44" s="66"/>
      <c r="G44" s="56"/>
      <c r="H44" s="56"/>
      <c r="I44" s="56"/>
      <c r="J44" s="56"/>
      <c r="K44" s="56"/>
      <c r="Q44" s="22"/>
      <c r="R44" s="134"/>
    </row>
    <row r="45" spans="2:18" ht="14.4">
      <c r="B45" s="66"/>
      <c r="G45" s="56"/>
      <c r="H45" s="56"/>
      <c r="I45" s="56"/>
      <c r="J45" s="56"/>
      <c r="K45" s="56"/>
      <c r="Q45" s="22"/>
      <c r="R45" s="134"/>
    </row>
    <row r="46" spans="2:18" ht="14.4">
      <c r="B46" s="66"/>
      <c r="G46" s="56"/>
      <c r="H46" s="56"/>
      <c r="I46" s="56"/>
      <c r="J46" s="56"/>
      <c r="K46" s="56"/>
      <c r="Q46" s="22"/>
      <c r="R46" s="134"/>
    </row>
    <row r="47" spans="2:18" ht="14.4">
      <c r="B47" s="66"/>
      <c r="G47" s="56"/>
      <c r="H47" s="56"/>
      <c r="I47" s="56"/>
      <c r="J47" s="56"/>
      <c r="K47" s="56"/>
      <c r="Q47" s="22"/>
      <c r="R47" s="134"/>
    </row>
    <row r="48" spans="2:18" ht="14.4">
      <c r="B48" s="66"/>
      <c r="G48" s="56"/>
      <c r="H48" s="56"/>
      <c r="I48" s="56"/>
      <c r="J48" s="56"/>
      <c r="K48" s="56"/>
      <c r="Q48" s="22"/>
      <c r="R48" s="134"/>
    </row>
    <row r="49" spans="2:18" ht="14.4">
      <c r="B49" s="66"/>
      <c r="G49" s="56"/>
      <c r="H49" s="56"/>
      <c r="I49" s="56"/>
      <c r="J49" s="56"/>
      <c r="K49" s="56"/>
      <c r="Q49" s="22"/>
      <c r="R49" s="134"/>
    </row>
    <row r="50" spans="2:18" ht="14.4">
      <c r="B50" s="66"/>
      <c r="G50" s="56"/>
      <c r="H50" s="56"/>
      <c r="I50" s="56"/>
      <c r="J50" s="56"/>
      <c r="K50" s="56"/>
      <c r="Q50" s="22"/>
      <c r="R50" s="134"/>
    </row>
    <row r="51" spans="2:18" ht="14.4">
      <c r="B51" s="66"/>
      <c r="G51" s="56"/>
      <c r="H51" s="56"/>
      <c r="I51" s="56"/>
      <c r="J51" s="56"/>
      <c r="K51" s="56"/>
      <c r="Q51" s="22"/>
      <c r="R51" s="134"/>
    </row>
    <row r="52" spans="2:18" ht="14.4">
      <c r="B52" s="66"/>
      <c r="G52" s="56"/>
      <c r="H52" s="56"/>
      <c r="I52" s="56"/>
      <c r="J52" s="56"/>
      <c r="K52" s="56"/>
      <c r="Q52" s="22"/>
      <c r="R52" s="134"/>
    </row>
    <row r="53" spans="2:18" ht="14.4">
      <c r="B53" s="66"/>
      <c r="G53" s="56"/>
      <c r="H53" s="56"/>
      <c r="I53" s="56"/>
      <c r="J53" s="56"/>
      <c r="K53" s="56"/>
      <c r="Q53" s="22"/>
      <c r="R53" s="134"/>
    </row>
    <row r="54" spans="2:18" ht="14.4">
      <c r="B54" s="66"/>
      <c r="G54" s="56"/>
      <c r="H54" s="56"/>
      <c r="I54" s="56"/>
      <c r="J54" s="56"/>
      <c r="K54" s="56"/>
      <c r="Q54" s="22"/>
      <c r="R54" s="134"/>
    </row>
    <row r="55" spans="2:18" ht="14.4">
      <c r="B55" s="66"/>
      <c r="G55" s="56"/>
      <c r="H55" s="56"/>
      <c r="I55" s="56"/>
      <c r="J55" s="56"/>
      <c r="K55" s="56"/>
      <c r="Q55" s="22"/>
      <c r="R55" s="134"/>
    </row>
    <row r="56" spans="2:18" ht="14.4">
      <c r="B56" s="66"/>
      <c r="G56" s="56"/>
      <c r="H56" s="56"/>
      <c r="I56" s="56"/>
      <c r="J56" s="56"/>
      <c r="K56" s="56"/>
      <c r="Q56" s="22"/>
      <c r="R56" s="134"/>
    </row>
    <row r="57" spans="2:18" ht="14.4">
      <c r="B57" s="66"/>
      <c r="G57" s="56"/>
      <c r="H57" s="56"/>
      <c r="I57" s="56"/>
      <c r="J57" s="56"/>
      <c r="K57" s="56"/>
      <c r="Q57" s="22"/>
      <c r="R57" s="134"/>
    </row>
    <row r="58" spans="2:18" ht="14.4">
      <c r="B58" s="66"/>
      <c r="G58" s="56"/>
      <c r="H58" s="56"/>
      <c r="I58" s="56"/>
      <c r="J58" s="56"/>
      <c r="K58" s="56"/>
      <c r="Q58" s="22"/>
      <c r="R58" s="134"/>
    </row>
    <row r="59" spans="2:18" ht="14.4">
      <c r="B59" s="66"/>
      <c r="G59" s="56"/>
      <c r="H59" s="56"/>
      <c r="I59" s="56"/>
      <c r="J59" s="56"/>
      <c r="K59" s="56"/>
      <c r="Q59" s="22"/>
      <c r="R59" s="134"/>
    </row>
    <row r="60" spans="2:18" ht="14.4">
      <c r="B60" s="66"/>
      <c r="G60" s="56"/>
      <c r="H60" s="56"/>
      <c r="I60" s="56"/>
      <c r="J60" s="56"/>
      <c r="K60" s="56"/>
      <c r="Q60" s="22"/>
      <c r="R60" s="134"/>
    </row>
    <row r="61" spans="2:18" ht="14.4">
      <c r="B61" s="66"/>
      <c r="G61" s="56"/>
      <c r="H61" s="56"/>
      <c r="I61" s="56"/>
      <c r="J61" s="56"/>
      <c r="K61" s="56"/>
      <c r="Q61" s="22"/>
      <c r="R61" s="134"/>
    </row>
    <row r="62" spans="2:18" ht="14.4">
      <c r="B62" s="66"/>
      <c r="G62" s="56"/>
      <c r="H62" s="56"/>
      <c r="I62" s="56"/>
      <c r="J62" s="56"/>
      <c r="K62" s="56"/>
      <c r="Q62" s="22"/>
      <c r="R62" s="134"/>
    </row>
    <row r="63" spans="2:18" ht="14.4">
      <c r="B63" s="66"/>
      <c r="G63" s="56"/>
      <c r="H63" s="56"/>
      <c r="I63" s="56"/>
      <c r="J63" s="56"/>
      <c r="K63" s="56"/>
      <c r="Q63" s="22"/>
      <c r="R63" s="134"/>
    </row>
    <row r="64" spans="2:18" ht="14.4">
      <c r="B64" s="66"/>
      <c r="G64" s="56"/>
      <c r="H64" s="56"/>
      <c r="I64" s="56"/>
      <c r="J64" s="56"/>
      <c r="K64" s="56"/>
      <c r="Q64" s="22"/>
      <c r="R64" s="134"/>
    </row>
    <row r="65" spans="2:18" ht="14.4">
      <c r="B65" s="66"/>
      <c r="G65" s="56"/>
      <c r="H65" s="56"/>
      <c r="I65" s="56"/>
      <c r="J65" s="56"/>
      <c r="K65" s="56"/>
      <c r="Q65" s="22"/>
      <c r="R65" s="134"/>
    </row>
    <row r="66" spans="2:18" ht="14.4">
      <c r="B66" s="66"/>
      <c r="G66" s="56"/>
      <c r="H66" s="56"/>
      <c r="I66" s="56"/>
      <c r="J66" s="56"/>
      <c r="K66" s="56"/>
      <c r="Q66" s="22"/>
      <c r="R66" s="134"/>
    </row>
    <row r="67" spans="2:18" ht="14.4">
      <c r="B67" s="66"/>
      <c r="G67" s="56"/>
      <c r="H67" s="56"/>
      <c r="I67" s="56"/>
      <c r="J67" s="56"/>
      <c r="K67" s="56"/>
      <c r="Q67" s="22"/>
      <c r="R67" s="134"/>
    </row>
    <row r="68" spans="2:18" ht="14.4">
      <c r="B68" s="66"/>
      <c r="G68" s="56"/>
      <c r="H68" s="56"/>
      <c r="I68" s="56"/>
      <c r="J68" s="56"/>
      <c r="K68" s="56"/>
      <c r="Q68" s="22"/>
      <c r="R68" s="134"/>
    </row>
    <row r="69" spans="2:18" ht="14.4">
      <c r="B69" s="66"/>
      <c r="G69" s="56"/>
      <c r="H69" s="56"/>
      <c r="I69" s="56"/>
      <c r="J69" s="56"/>
      <c r="K69" s="56"/>
      <c r="Q69" s="22"/>
      <c r="R69" s="134"/>
    </row>
    <row r="70" spans="2:18" ht="14.4">
      <c r="B70" s="66"/>
      <c r="G70" s="56"/>
      <c r="H70" s="56"/>
      <c r="I70" s="56"/>
      <c r="J70" s="56"/>
      <c r="K70" s="56"/>
      <c r="Q70" s="22"/>
      <c r="R70" s="134"/>
    </row>
    <row r="71" spans="2:18" ht="14.4">
      <c r="B71" s="66"/>
      <c r="G71" s="56"/>
      <c r="H71" s="56"/>
      <c r="I71" s="56"/>
      <c r="J71" s="56"/>
      <c r="K71" s="56"/>
      <c r="Q71" s="22"/>
      <c r="R71" s="134"/>
    </row>
    <row r="72" spans="2:18" ht="14.4">
      <c r="B72" s="66"/>
      <c r="G72" s="56"/>
      <c r="H72" s="56"/>
      <c r="I72" s="56"/>
      <c r="J72" s="56"/>
      <c r="K72" s="56"/>
      <c r="Q72" s="22"/>
      <c r="R72" s="134"/>
    </row>
    <row r="73" spans="2:18" ht="14.4">
      <c r="B73" s="66"/>
      <c r="G73" s="56"/>
      <c r="H73" s="56"/>
      <c r="I73" s="56"/>
      <c r="J73" s="56"/>
      <c r="K73" s="56"/>
      <c r="Q73" s="22"/>
      <c r="R73" s="134"/>
    </row>
    <row r="74" spans="2:18" ht="14.4">
      <c r="B74" s="66"/>
      <c r="G74" s="56"/>
      <c r="H74" s="56"/>
      <c r="I74" s="56"/>
      <c r="J74" s="56"/>
      <c r="K74" s="56"/>
      <c r="Q74" s="22"/>
      <c r="R74" s="134"/>
    </row>
    <row r="75" spans="2:18" ht="14.4">
      <c r="B75" s="66"/>
      <c r="G75" s="56"/>
      <c r="H75" s="56"/>
      <c r="I75" s="56"/>
      <c r="J75" s="56"/>
      <c r="K75" s="56"/>
      <c r="Q75" s="22"/>
      <c r="R75" s="134"/>
    </row>
    <row r="76" spans="2:18" ht="14.4">
      <c r="B76" s="66"/>
      <c r="G76" s="56"/>
      <c r="H76" s="56"/>
      <c r="I76" s="56"/>
      <c r="J76" s="56"/>
      <c r="K76" s="56"/>
      <c r="Q76" s="22"/>
      <c r="R76" s="134"/>
    </row>
    <row r="77" spans="2:18" ht="14.4">
      <c r="B77" s="66"/>
      <c r="G77" s="56"/>
      <c r="H77" s="56"/>
      <c r="I77" s="56"/>
      <c r="J77" s="56"/>
      <c r="K77" s="56"/>
      <c r="Q77" s="22"/>
      <c r="R77" s="134"/>
    </row>
    <row r="78" spans="2:18" ht="14.4">
      <c r="B78" s="66"/>
      <c r="G78" s="56"/>
      <c r="H78" s="56"/>
      <c r="I78" s="56"/>
      <c r="J78" s="56"/>
      <c r="K78" s="56"/>
      <c r="Q78" s="22"/>
      <c r="R78" s="134"/>
    </row>
    <row r="79" spans="2:18" ht="14.4">
      <c r="B79" s="66"/>
      <c r="G79" s="56"/>
      <c r="H79" s="56"/>
      <c r="I79" s="56"/>
      <c r="J79" s="56"/>
      <c r="K79" s="56"/>
      <c r="Q79" s="22"/>
      <c r="R79" s="134"/>
    </row>
    <row r="80" spans="2:18" ht="14.4">
      <c r="B80" s="66"/>
      <c r="G80" s="56"/>
      <c r="H80" s="56"/>
      <c r="I80" s="56"/>
      <c r="J80" s="56"/>
      <c r="K80" s="56"/>
      <c r="Q80" s="22"/>
      <c r="R80" s="134"/>
    </row>
    <row r="81" spans="2:18" ht="14.4">
      <c r="B81" s="66"/>
      <c r="G81" s="56"/>
      <c r="H81" s="56"/>
      <c r="I81" s="56"/>
      <c r="J81" s="56"/>
      <c r="K81" s="56"/>
      <c r="Q81" s="22"/>
      <c r="R81" s="134"/>
    </row>
    <row r="82" spans="2:18" ht="14.4">
      <c r="B82" s="66"/>
      <c r="G82" s="56"/>
      <c r="H82" s="56"/>
      <c r="I82" s="56"/>
      <c r="J82" s="56"/>
      <c r="K82" s="56"/>
      <c r="Q82" s="22"/>
      <c r="R82" s="134"/>
    </row>
    <row r="83" spans="2:18" ht="14.4">
      <c r="B83" s="66"/>
      <c r="G83" s="56"/>
      <c r="H83" s="56"/>
      <c r="I83" s="56"/>
      <c r="J83" s="56"/>
      <c r="K83" s="56"/>
      <c r="Q83" s="22"/>
      <c r="R83" s="134"/>
    </row>
    <row r="84" spans="2:18" ht="14.4">
      <c r="B84" s="66"/>
      <c r="G84" s="56"/>
      <c r="H84" s="56"/>
      <c r="I84" s="56"/>
      <c r="J84" s="56"/>
      <c r="K84" s="56"/>
      <c r="Q84" s="22"/>
      <c r="R84" s="134"/>
    </row>
    <row r="85" spans="2:18" ht="14.4">
      <c r="B85" s="66"/>
      <c r="G85" s="56"/>
      <c r="H85" s="56"/>
      <c r="I85" s="56"/>
      <c r="J85" s="56"/>
      <c r="K85" s="56"/>
      <c r="Q85" s="22"/>
      <c r="R85" s="134"/>
    </row>
    <row r="86" spans="2:18" ht="14.4">
      <c r="B86" s="66"/>
      <c r="G86" s="56"/>
      <c r="H86" s="56"/>
      <c r="I86" s="56"/>
      <c r="J86" s="56"/>
      <c r="K86" s="56"/>
      <c r="Q86" s="22"/>
      <c r="R86" s="134"/>
    </row>
    <row r="87" spans="2:18" ht="14.4">
      <c r="B87" s="66"/>
      <c r="G87" s="56"/>
      <c r="H87" s="56"/>
      <c r="I87" s="56"/>
      <c r="J87" s="56"/>
      <c r="K87" s="56"/>
      <c r="Q87" s="22"/>
      <c r="R87" s="134"/>
    </row>
    <row r="88" spans="2:18" ht="14.4">
      <c r="B88" s="66"/>
      <c r="G88" s="56"/>
      <c r="H88" s="56"/>
      <c r="I88" s="56"/>
      <c r="J88" s="56"/>
      <c r="K88" s="56"/>
      <c r="Q88" s="22"/>
      <c r="R88" s="134"/>
    </row>
    <row r="89" spans="2:18" ht="14.4">
      <c r="B89" s="66"/>
      <c r="G89" s="56"/>
      <c r="H89" s="56"/>
      <c r="I89" s="56"/>
      <c r="J89" s="56"/>
      <c r="K89" s="56"/>
      <c r="Q89" s="22"/>
      <c r="R89" s="134"/>
    </row>
    <row r="90" spans="2:18" ht="14.4">
      <c r="B90" s="66"/>
      <c r="G90" s="56"/>
      <c r="H90" s="56"/>
      <c r="I90" s="56"/>
      <c r="J90" s="56"/>
      <c r="K90" s="56"/>
      <c r="Q90" s="22"/>
      <c r="R90" s="134"/>
    </row>
    <row r="91" spans="2:18" ht="14.4">
      <c r="B91" s="66"/>
      <c r="G91" s="56"/>
      <c r="H91" s="56"/>
      <c r="I91" s="56"/>
      <c r="J91" s="56"/>
      <c r="K91" s="56"/>
      <c r="Q91" s="22"/>
      <c r="R91" s="134"/>
    </row>
    <row r="92" spans="2:18" ht="14.4">
      <c r="B92" s="66"/>
      <c r="G92" s="56"/>
      <c r="H92" s="56"/>
      <c r="I92" s="56"/>
      <c r="J92" s="56"/>
      <c r="K92" s="56"/>
      <c r="Q92" s="22"/>
      <c r="R92" s="134"/>
    </row>
    <row r="93" spans="2:18" ht="14.4">
      <c r="B93" s="66"/>
      <c r="G93" s="56"/>
      <c r="H93" s="56"/>
      <c r="I93" s="56"/>
      <c r="J93" s="56"/>
      <c r="K93" s="56"/>
      <c r="Q93" s="22"/>
      <c r="R93" s="134"/>
    </row>
    <row r="94" spans="2:18" ht="14.4">
      <c r="B94" s="66"/>
      <c r="G94" s="56"/>
      <c r="H94" s="56"/>
      <c r="I94" s="56"/>
      <c r="J94" s="56"/>
      <c r="K94" s="56"/>
      <c r="Q94" s="22"/>
      <c r="R94" s="134"/>
    </row>
    <row r="95" spans="2:18" ht="14.4">
      <c r="B95" s="66"/>
      <c r="G95" s="56"/>
      <c r="H95" s="56"/>
      <c r="I95" s="56"/>
      <c r="J95" s="56"/>
      <c r="K95" s="56"/>
      <c r="Q95" s="22"/>
      <c r="R95" s="134"/>
    </row>
    <row r="96" spans="2:18" ht="14.4">
      <c r="B96" s="66"/>
      <c r="G96" s="56"/>
      <c r="H96" s="56"/>
      <c r="I96" s="56"/>
      <c r="J96" s="56"/>
      <c r="K96" s="56"/>
      <c r="Q96" s="22"/>
      <c r="R96" s="134"/>
    </row>
    <row r="97" spans="2:18" ht="14.4">
      <c r="B97" s="66"/>
      <c r="G97" s="56"/>
      <c r="H97" s="56"/>
      <c r="I97" s="56"/>
      <c r="J97" s="56"/>
      <c r="K97" s="56"/>
      <c r="Q97" s="22"/>
      <c r="R97" s="134"/>
    </row>
    <row r="98" spans="2:18" ht="14.4">
      <c r="B98" s="66"/>
      <c r="G98" s="56"/>
      <c r="H98" s="56"/>
      <c r="I98" s="56"/>
      <c r="J98" s="56"/>
      <c r="K98" s="56"/>
      <c r="Q98" s="22"/>
      <c r="R98" s="134"/>
    </row>
    <row r="99" spans="2:18" ht="14.4">
      <c r="B99" s="66"/>
      <c r="G99" s="56"/>
      <c r="H99" s="56"/>
      <c r="I99" s="56"/>
      <c r="J99" s="56"/>
      <c r="K99" s="56"/>
      <c r="Q99" s="22"/>
      <c r="R99" s="134"/>
    </row>
    <row r="100" spans="2:18" ht="14.4">
      <c r="B100" s="66"/>
      <c r="G100" s="56"/>
      <c r="H100" s="56"/>
      <c r="I100" s="56"/>
      <c r="J100" s="56"/>
      <c r="K100" s="56"/>
      <c r="Q100" s="22"/>
      <c r="R100" s="134"/>
    </row>
    <row r="101" spans="2:18" ht="14.4">
      <c r="B101" s="66"/>
      <c r="G101" s="56"/>
      <c r="H101" s="56"/>
      <c r="I101" s="56"/>
      <c r="J101" s="56"/>
      <c r="K101" s="56"/>
      <c r="Q101" s="22"/>
      <c r="R101" s="134"/>
    </row>
    <row r="102" spans="2:18" ht="14.4">
      <c r="B102" s="66"/>
      <c r="G102" s="56"/>
      <c r="H102" s="56"/>
      <c r="I102" s="56"/>
      <c r="J102" s="56"/>
      <c r="K102" s="56"/>
      <c r="Q102" s="22"/>
      <c r="R102" s="134"/>
    </row>
    <row r="103" spans="2:18" ht="14.4">
      <c r="B103" s="66"/>
      <c r="G103" s="56"/>
      <c r="H103" s="56"/>
      <c r="I103" s="56"/>
      <c r="J103" s="56"/>
      <c r="K103" s="56"/>
      <c r="Q103" s="22"/>
      <c r="R103" s="134"/>
    </row>
    <row r="104" spans="2:18" ht="14.4">
      <c r="B104" s="66"/>
      <c r="G104" s="56"/>
      <c r="H104" s="56"/>
      <c r="I104" s="56"/>
      <c r="J104" s="56"/>
      <c r="K104" s="56"/>
      <c r="Q104" s="22"/>
      <c r="R104" s="134"/>
    </row>
    <row r="105" spans="2:18" ht="14.4">
      <c r="B105" s="66"/>
      <c r="G105" s="56"/>
      <c r="H105" s="56"/>
      <c r="I105" s="56"/>
      <c r="J105" s="56"/>
      <c r="K105" s="56"/>
      <c r="Q105" s="22"/>
      <c r="R105" s="134"/>
    </row>
    <row r="106" spans="2:18" ht="14.4">
      <c r="B106" s="66"/>
      <c r="G106" s="56"/>
      <c r="H106" s="56"/>
      <c r="I106" s="56"/>
      <c r="J106" s="56"/>
      <c r="K106" s="56"/>
      <c r="Q106" s="22"/>
      <c r="R106" s="134"/>
    </row>
    <row r="107" spans="2:18" ht="14.4">
      <c r="B107" s="66"/>
      <c r="G107" s="56"/>
      <c r="H107" s="56"/>
      <c r="I107" s="56"/>
      <c r="J107" s="56"/>
      <c r="K107" s="56"/>
      <c r="Q107" s="22"/>
      <c r="R107" s="134"/>
    </row>
    <row r="108" spans="2:18" ht="14.4">
      <c r="B108" s="66"/>
      <c r="G108" s="56"/>
      <c r="H108" s="56"/>
      <c r="I108" s="56"/>
      <c r="J108" s="56"/>
      <c r="K108" s="56"/>
      <c r="Q108" s="22"/>
      <c r="R108" s="134"/>
    </row>
    <row r="109" spans="2:18" ht="14.4">
      <c r="B109" s="66"/>
      <c r="G109" s="56"/>
      <c r="H109" s="56"/>
      <c r="I109" s="56"/>
      <c r="J109" s="56"/>
      <c r="K109" s="56"/>
      <c r="Q109" s="22"/>
      <c r="R109" s="134"/>
    </row>
    <row r="110" spans="2:18" ht="14.4">
      <c r="B110" s="66"/>
      <c r="G110" s="56"/>
      <c r="H110" s="56"/>
      <c r="I110" s="56"/>
      <c r="J110" s="56"/>
      <c r="K110" s="56"/>
      <c r="Q110" s="22"/>
      <c r="R110" s="134"/>
    </row>
    <row r="111" spans="2:18" ht="14.4">
      <c r="B111" s="66"/>
      <c r="G111" s="56"/>
      <c r="H111" s="56"/>
      <c r="I111" s="56"/>
      <c r="J111" s="56"/>
      <c r="K111" s="56"/>
      <c r="Q111" s="22"/>
      <c r="R111" s="134"/>
    </row>
    <row r="112" spans="2:18" ht="14.4">
      <c r="B112" s="66"/>
      <c r="G112" s="56"/>
      <c r="H112" s="56"/>
      <c r="I112" s="56"/>
      <c r="J112" s="56"/>
      <c r="K112" s="56"/>
      <c r="Q112" s="22"/>
      <c r="R112" s="134"/>
    </row>
    <row r="113" spans="2:18" ht="14.4">
      <c r="B113" s="66"/>
      <c r="G113" s="56"/>
      <c r="H113" s="56"/>
      <c r="I113" s="56"/>
      <c r="J113" s="56"/>
      <c r="K113" s="56"/>
      <c r="Q113" s="22"/>
      <c r="R113" s="134"/>
    </row>
    <row r="114" spans="2:18" ht="14.4">
      <c r="B114" s="66"/>
      <c r="G114" s="56"/>
      <c r="H114" s="56"/>
      <c r="I114" s="56"/>
      <c r="J114" s="56"/>
      <c r="K114" s="56"/>
      <c r="Q114" s="22"/>
      <c r="R114" s="134"/>
    </row>
    <row r="115" spans="2:18" ht="14.4">
      <c r="B115" s="66"/>
      <c r="G115" s="56"/>
      <c r="H115" s="56"/>
      <c r="I115" s="56"/>
      <c r="J115" s="56"/>
      <c r="K115" s="56"/>
      <c r="Q115" s="22"/>
      <c r="R115" s="134"/>
    </row>
    <row r="116" spans="2:18" ht="14.4">
      <c r="B116" s="66"/>
      <c r="G116" s="56"/>
      <c r="H116" s="56"/>
      <c r="I116" s="56"/>
      <c r="J116" s="56"/>
      <c r="K116" s="56"/>
      <c r="Q116" s="22"/>
      <c r="R116" s="134"/>
    </row>
    <row r="117" spans="2:18" ht="14.4">
      <c r="B117" s="66"/>
      <c r="G117" s="56"/>
      <c r="H117" s="56"/>
      <c r="I117" s="56"/>
      <c r="J117" s="56"/>
      <c r="K117" s="56"/>
      <c r="Q117" s="22"/>
      <c r="R117" s="134"/>
    </row>
    <row r="118" spans="2:18" ht="14.4">
      <c r="B118" s="66"/>
      <c r="G118" s="56"/>
      <c r="H118" s="56"/>
      <c r="I118" s="56"/>
      <c r="J118" s="56"/>
      <c r="K118" s="56"/>
      <c r="Q118" s="22"/>
      <c r="R118" s="134"/>
    </row>
    <row r="119" spans="2:18" ht="14.4">
      <c r="B119" s="66"/>
      <c r="G119" s="56"/>
      <c r="H119" s="56"/>
      <c r="I119" s="56"/>
      <c r="J119" s="56"/>
      <c r="K119" s="56"/>
      <c r="Q119" s="22"/>
      <c r="R119" s="134"/>
    </row>
    <row r="120" spans="2:18" ht="14.4">
      <c r="B120" s="66"/>
      <c r="G120" s="56"/>
      <c r="H120" s="56"/>
      <c r="I120" s="56"/>
      <c r="J120" s="56"/>
      <c r="K120" s="56"/>
      <c r="Q120" s="22"/>
      <c r="R120" s="134"/>
    </row>
    <row r="121" spans="2:18" ht="14.4">
      <c r="B121" s="66"/>
      <c r="G121" s="56"/>
      <c r="H121" s="56"/>
      <c r="I121" s="56"/>
      <c r="J121" s="56"/>
      <c r="K121" s="56"/>
      <c r="Q121" s="22"/>
      <c r="R121" s="134"/>
    </row>
    <row r="122" spans="2:18" ht="14.4">
      <c r="B122" s="66"/>
      <c r="G122" s="56"/>
      <c r="H122" s="56"/>
      <c r="I122" s="56"/>
      <c r="J122" s="56"/>
      <c r="K122" s="56"/>
      <c r="Q122" s="22"/>
      <c r="R122" s="134"/>
    </row>
    <row r="123" spans="2:18" ht="14.4">
      <c r="B123" s="66"/>
      <c r="G123" s="56"/>
      <c r="H123" s="56"/>
      <c r="I123" s="56"/>
      <c r="J123" s="56"/>
      <c r="K123" s="56"/>
      <c r="Q123" s="22"/>
      <c r="R123" s="134"/>
    </row>
    <row r="124" spans="2:18" ht="14.4">
      <c r="B124" s="66"/>
      <c r="G124" s="56"/>
      <c r="H124" s="56"/>
      <c r="I124" s="56"/>
      <c r="J124" s="56"/>
      <c r="K124" s="56"/>
      <c r="Q124" s="22"/>
      <c r="R124" s="134"/>
    </row>
    <row r="125" spans="2:18" ht="14.4">
      <c r="B125" s="66"/>
      <c r="G125" s="56"/>
      <c r="H125" s="56"/>
      <c r="I125" s="56"/>
      <c r="J125" s="56"/>
      <c r="K125" s="56"/>
      <c r="Q125" s="22"/>
      <c r="R125" s="134"/>
    </row>
    <row r="126" spans="2:18" ht="14.4">
      <c r="B126" s="66"/>
      <c r="G126" s="56"/>
      <c r="H126" s="56"/>
      <c r="I126" s="56"/>
      <c r="J126" s="56"/>
      <c r="K126" s="56"/>
      <c r="Q126" s="22"/>
      <c r="R126" s="134"/>
    </row>
    <row r="127" spans="2:18" ht="14.4">
      <c r="B127" s="66"/>
      <c r="G127" s="56"/>
      <c r="H127" s="56"/>
      <c r="I127" s="56"/>
      <c r="J127" s="56"/>
      <c r="K127" s="56"/>
      <c r="Q127" s="22"/>
      <c r="R127" s="134"/>
    </row>
    <row r="128" spans="2:18" ht="14.4">
      <c r="B128" s="66"/>
      <c r="G128" s="56"/>
      <c r="H128" s="56"/>
      <c r="I128" s="56"/>
      <c r="J128" s="56"/>
      <c r="K128" s="56"/>
      <c r="Q128" s="22"/>
      <c r="R128" s="134"/>
    </row>
    <row r="129" spans="2:18" ht="14.4">
      <c r="B129" s="66"/>
      <c r="G129" s="56"/>
      <c r="H129" s="56"/>
      <c r="I129" s="56"/>
      <c r="J129" s="56"/>
      <c r="K129" s="56"/>
      <c r="Q129" s="22"/>
      <c r="R129" s="134"/>
    </row>
    <row r="130" spans="2:18" ht="14.4">
      <c r="B130" s="66"/>
      <c r="G130" s="56"/>
      <c r="H130" s="56"/>
      <c r="I130" s="56"/>
      <c r="J130" s="56"/>
      <c r="K130" s="56"/>
      <c r="Q130" s="22"/>
      <c r="R130" s="134"/>
    </row>
    <row r="131" spans="2:18" ht="14.4">
      <c r="B131" s="66"/>
      <c r="G131" s="56"/>
      <c r="H131" s="56"/>
      <c r="I131" s="56"/>
      <c r="J131" s="56"/>
      <c r="K131" s="56"/>
      <c r="Q131" s="22"/>
      <c r="R131" s="134"/>
    </row>
    <row r="132" spans="2:18" ht="14.4">
      <c r="B132" s="66"/>
      <c r="G132" s="56"/>
      <c r="H132" s="56"/>
      <c r="I132" s="56"/>
      <c r="J132" s="56"/>
      <c r="K132" s="56"/>
      <c r="Q132" s="22"/>
      <c r="R132" s="134"/>
    </row>
    <row r="133" spans="2:18" ht="14.4">
      <c r="B133" s="66"/>
      <c r="G133" s="56"/>
      <c r="H133" s="56"/>
      <c r="I133" s="56"/>
      <c r="J133" s="56"/>
      <c r="K133" s="56"/>
      <c r="Q133" s="22"/>
      <c r="R133" s="134"/>
    </row>
    <row r="134" spans="2:18" ht="14.4">
      <c r="B134" s="66"/>
      <c r="G134" s="56"/>
      <c r="H134" s="56"/>
      <c r="I134" s="56"/>
      <c r="J134" s="56"/>
      <c r="K134" s="56"/>
      <c r="Q134" s="22"/>
      <c r="R134" s="134"/>
    </row>
    <row r="135" spans="2:18" ht="14.4">
      <c r="B135" s="66"/>
      <c r="G135" s="56"/>
      <c r="H135" s="56"/>
      <c r="I135" s="56"/>
      <c r="J135" s="56"/>
      <c r="K135" s="56"/>
      <c r="Q135" s="22"/>
      <c r="R135" s="134"/>
    </row>
    <row r="136" spans="2:18" ht="14.4">
      <c r="B136" s="66"/>
      <c r="G136" s="56"/>
      <c r="H136" s="56"/>
      <c r="I136" s="56"/>
      <c r="J136" s="56"/>
      <c r="K136" s="56"/>
      <c r="Q136" s="22"/>
      <c r="R136" s="134"/>
    </row>
    <row r="137" spans="2:18" ht="14.4">
      <c r="B137" s="66"/>
      <c r="G137" s="56"/>
      <c r="H137" s="56"/>
      <c r="I137" s="56"/>
      <c r="J137" s="56"/>
      <c r="K137" s="56"/>
      <c r="Q137" s="22"/>
      <c r="R137" s="134"/>
    </row>
    <row r="138" spans="2:18" ht="14.4">
      <c r="B138" s="66"/>
      <c r="G138" s="56"/>
      <c r="H138" s="56"/>
      <c r="I138" s="56"/>
      <c r="J138" s="56"/>
      <c r="K138" s="56"/>
      <c r="Q138" s="22"/>
      <c r="R138" s="134"/>
    </row>
    <row r="139" spans="2:18" ht="14.4">
      <c r="B139" s="66"/>
      <c r="G139" s="56"/>
      <c r="H139" s="56"/>
      <c r="I139" s="56"/>
      <c r="J139" s="56"/>
      <c r="K139" s="56"/>
      <c r="Q139" s="22"/>
      <c r="R139" s="134"/>
    </row>
    <row r="140" spans="2:18" ht="14.4">
      <c r="B140" s="66"/>
      <c r="G140" s="56"/>
      <c r="H140" s="56"/>
      <c r="I140" s="56"/>
      <c r="J140" s="56"/>
      <c r="K140" s="56"/>
      <c r="Q140" s="22"/>
      <c r="R140" s="134"/>
    </row>
    <row r="141" spans="2:18" ht="14.4">
      <c r="B141" s="66"/>
      <c r="G141" s="56"/>
      <c r="H141" s="56"/>
      <c r="I141" s="56"/>
      <c r="J141" s="56"/>
      <c r="K141" s="56"/>
      <c r="Q141" s="22"/>
      <c r="R141" s="134"/>
    </row>
    <row r="142" spans="2:18" ht="14.4">
      <c r="B142" s="66"/>
      <c r="G142" s="56"/>
      <c r="H142" s="56"/>
      <c r="I142" s="56"/>
      <c r="J142" s="56"/>
      <c r="K142" s="56"/>
      <c r="Q142" s="22"/>
      <c r="R142" s="134"/>
    </row>
    <row r="143" spans="2:18" ht="14.4">
      <c r="B143" s="66"/>
      <c r="G143" s="56"/>
      <c r="H143" s="56"/>
      <c r="I143" s="56"/>
      <c r="J143" s="56"/>
      <c r="K143" s="56"/>
      <c r="Q143" s="22"/>
      <c r="R143" s="134"/>
    </row>
    <row r="144" spans="2:18" ht="14.4">
      <c r="B144" s="66"/>
      <c r="G144" s="56"/>
      <c r="H144" s="56"/>
      <c r="I144" s="56"/>
      <c r="J144" s="56"/>
      <c r="K144" s="56"/>
      <c r="Q144" s="22"/>
      <c r="R144" s="134"/>
    </row>
    <row r="145" spans="2:18" ht="14.4">
      <c r="B145" s="66"/>
      <c r="G145" s="56"/>
      <c r="H145" s="56"/>
      <c r="I145" s="56"/>
      <c r="J145" s="56"/>
      <c r="K145" s="56"/>
      <c r="Q145" s="22"/>
      <c r="R145" s="134"/>
    </row>
    <row r="146" spans="2:18" ht="14.4">
      <c r="B146" s="66"/>
      <c r="G146" s="56"/>
      <c r="H146" s="56"/>
      <c r="I146" s="56"/>
      <c r="J146" s="56"/>
      <c r="K146" s="56"/>
      <c r="Q146" s="22"/>
      <c r="R146" s="134"/>
    </row>
    <row r="147" spans="2:18" ht="14.4">
      <c r="B147" s="66"/>
      <c r="G147" s="56"/>
      <c r="H147" s="56"/>
      <c r="I147" s="56"/>
      <c r="J147" s="56"/>
      <c r="K147" s="56"/>
      <c r="Q147" s="22"/>
      <c r="R147" s="134"/>
    </row>
    <row r="148" spans="2:18" ht="14.4">
      <c r="B148" s="66"/>
      <c r="G148" s="56"/>
      <c r="H148" s="56"/>
      <c r="I148" s="56"/>
      <c r="J148" s="56"/>
      <c r="K148" s="56"/>
      <c r="Q148" s="22"/>
      <c r="R148" s="134"/>
    </row>
    <row r="149" spans="2:18" ht="14.4">
      <c r="B149" s="66"/>
      <c r="G149" s="56"/>
      <c r="H149" s="56"/>
      <c r="I149" s="56"/>
      <c r="J149" s="56"/>
      <c r="K149" s="56"/>
      <c r="Q149" s="22"/>
      <c r="R149" s="134"/>
    </row>
    <row r="150" spans="2:18" ht="14.4">
      <c r="B150" s="66"/>
      <c r="G150" s="56"/>
      <c r="H150" s="56"/>
      <c r="I150" s="56"/>
      <c r="J150" s="56"/>
      <c r="K150" s="56"/>
      <c r="Q150" s="22"/>
      <c r="R150" s="134"/>
    </row>
    <row r="151" spans="2:18" ht="14.4">
      <c r="B151" s="66"/>
      <c r="G151" s="56"/>
      <c r="H151" s="56"/>
      <c r="I151" s="56"/>
      <c r="J151" s="56"/>
      <c r="K151" s="56"/>
      <c r="Q151" s="22"/>
      <c r="R151" s="134"/>
    </row>
    <row r="152" spans="2:18" ht="14.4">
      <c r="B152" s="66"/>
      <c r="G152" s="56"/>
      <c r="H152" s="56"/>
      <c r="I152" s="56"/>
      <c r="J152" s="56"/>
      <c r="K152" s="56"/>
      <c r="Q152" s="22"/>
      <c r="R152" s="134"/>
    </row>
    <row r="153" spans="2:18" ht="14.4">
      <c r="B153" s="66"/>
      <c r="G153" s="56"/>
      <c r="H153" s="56"/>
      <c r="I153" s="56"/>
      <c r="J153" s="56"/>
      <c r="K153" s="56"/>
      <c r="Q153" s="22"/>
      <c r="R153" s="134"/>
    </row>
    <row r="154" spans="2:18" ht="14.4">
      <c r="B154" s="66"/>
      <c r="G154" s="56"/>
      <c r="H154" s="56"/>
      <c r="I154" s="56"/>
      <c r="J154" s="56"/>
      <c r="K154" s="56"/>
      <c r="Q154" s="22"/>
      <c r="R154" s="134"/>
    </row>
    <row r="155" spans="2:18" ht="14.4">
      <c r="B155" s="66"/>
      <c r="G155" s="56"/>
      <c r="H155" s="56"/>
      <c r="I155" s="56"/>
      <c r="J155" s="56"/>
      <c r="K155" s="56"/>
      <c r="Q155" s="22"/>
      <c r="R155" s="134"/>
    </row>
    <row r="156" spans="2:18" ht="14.4">
      <c r="B156" s="66"/>
      <c r="G156" s="56"/>
      <c r="H156" s="56"/>
      <c r="I156" s="56"/>
      <c r="J156" s="56"/>
      <c r="K156" s="56"/>
      <c r="Q156" s="22"/>
      <c r="R156" s="134"/>
    </row>
    <row r="157" spans="2:18" ht="14.4">
      <c r="B157" s="66"/>
      <c r="G157" s="56"/>
      <c r="H157" s="56"/>
      <c r="I157" s="56"/>
      <c r="J157" s="56"/>
      <c r="K157" s="56"/>
      <c r="Q157" s="22"/>
      <c r="R157" s="134"/>
    </row>
    <row r="158" spans="2:18" ht="14.4">
      <c r="B158" s="66"/>
      <c r="G158" s="56"/>
      <c r="H158" s="56"/>
      <c r="I158" s="56"/>
      <c r="J158" s="56"/>
      <c r="K158" s="56"/>
      <c r="Q158" s="22"/>
      <c r="R158" s="134"/>
    </row>
    <row r="159" spans="2:18" ht="14.4">
      <c r="B159" s="66"/>
      <c r="G159" s="56"/>
      <c r="H159" s="56"/>
      <c r="I159" s="56"/>
      <c r="J159" s="56"/>
      <c r="K159" s="56"/>
      <c r="Q159" s="22"/>
      <c r="R159" s="134"/>
    </row>
    <row r="160" spans="2:18" ht="14.4">
      <c r="B160" s="66"/>
      <c r="G160" s="56"/>
      <c r="H160" s="56"/>
      <c r="I160" s="56"/>
      <c r="J160" s="56"/>
      <c r="K160" s="56"/>
      <c r="Q160" s="22"/>
      <c r="R160" s="134"/>
    </row>
    <row r="161" spans="2:18" ht="14.4">
      <c r="B161" s="66"/>
      <c r="G161" s="56"/>
      <c r="H161" s="56"/>
      <c r="I161" s="56"/>
      <c r="J161" s="56"/>
      <c r="K161" s="56"/>
      <c r="Q161" s="22"/>
      <c r="R161" s="134"/>
    </row>
    <row r="162" spans="2:18" ht="14.4">
      <c r="B162" s="66"/>
      <c r="G162" s="56"/>
      <c r="H162" s="56"/>
      <c r="I162" s="56"/>
      <c r="J162" s="56"/>
      <c r="K162" s="56"/>
      <c r="Q162" s="22"/>
      <c r="R162" s="134"/>
    </row>
    <row r="163" spans="2:18" ht="14.4">
      <c r="B163" s="66"/>
      <c r="G163" s="56"/>
      <c r="H163" s="56"/>
      <c r="I163" s="56"/>
      <c r="J163" s="56"/>
      <c r="K163" s="56"/>
      <c r="Q163" s="22"/>
      <c r="R163" s="134"/>
    </row>
    <row r="164" spans="2:18" ht="14.4">
      <c r="B164" s="66"/>
      <c r="G164" s="56"/>
      <c r="H164" s="56"/>
      <c r="I164" s="56"/>
      <c r="J164" s="56"/>
      <c r="K164" s="56"/>
      <c r="Q164" s="22"/>
      <c r="R164" s="134"/>
    </row>
    <row r="165" spans="2:18" ht="14.4">
      <c r="B165" s="66"/>
      <c r="G165" s="56"/>
      <c r="H165" s="56"/>
      <c r="I165" s="56"/>
      <c r="J165" s="56"/>
      <c r="K165" s="56"/>
      <c r="Q165" s="22"/>
      <c r="R165" s="134"/>
    </row>
    <row r="166" spans="2:18" ht="14.4">
      <c r="B166" s="66"/>
      <c r="G166" s="56"/>
      <c r="H166" s="56"/>
      <c r="I166" s="56"/>
      <c r="J166" s="56"/>
      <c r="K166" s="56"/>
      <c r="Q166" s="22"/>
      <c r="R166" s="134"/>
    </row>
    <row r="167" spans="2:18" ht="14.4">
      <c r="B167" s="66"/>
      <c r="G167" s="56"/>
      <c r="H167" s="56"/>
      <c r="I167" s="56"/>
      <c r="J167" s="56"/>
      <c r="K167" s="56"/>
      <c r="Q167" s="22"/>
      <c r="R167" s="134"/>
    </row>
    <row r="168" spans="2:18" ht="14.4">
      <c r="B168" s="66"/>
      <c r="G168" s="56"/>
      <c r="H168" s="56"/>
      <c r="I168" s="56"/>
      <c r="J168" s="56"/>
      <c r="K168" s="56"/>
      <c r="Q168" s="22"/>
      <c r="R168" s="134"/>
    </row>
    <row r="169" spans="2:18" ht="14.4">
      <c r="B169" s="66"/>
      <c r="G169" s="56"/>
      <c r="H169" s="56"/>
      <c r="I169" s="56"/>
      <c r="J169" s="56"/>
      <c r="K169" s="56"/>
      <c r="Q169" s="22"/>
      <c r="R169" s="134"/>
    </row>
    <row r="170" spans="2:18" ht="14.4">
      <c r="B170" s="66"/>
      <c r="G170" s="56"/>
      <c r="H170" s="56"/>
      <c r="I170" s="56"/>
      <c r="J170" s="56"/>
      <c r="K170" s="56"/>
      <c r="Q170" s="22"/>
      <c r="R170" s="134"/>
    </row>
    <row r="171" spans="2:18" ht="14.4">
      <c r="B171" s="66"/>
      <c r="G171" s="56"/>
      <c r="H171" s="56"/>
      <c r="I171" s="56"/>
      <c r="J171" s="56"/>
      <c r="K171" s="56"/>
      <c r="Q171" s="22"/>
      <c r="R171" s="134"/>
    </row>
    <row r="172" spans="2:18" ht="14.4">
      <c r="B172" s="66"/>
      <c r="G172" s="56"/>
      <c r="H172" s="56"/>
      <c r="I172" s="56"/>
      <c r="J172" s="56"/>
      <c r="K172" s="56"/>
      <c r="Q172" s="22"/>
      <c r="R172" s="134"/>
    </row>
    <row r="173" spans="2:18" ht="14.4">
      <c r="B173" s="66"/>
      <c r="G173" s="56"/>
      <c r="H173" s="56"/>
      <c r="I173" s="56"/>
      <c r="J173" s="56"/>
      <c r="K173" s="56"/>
      <c r="Q173" s="22"/>
      <c r="R173" s="134"/>
    </row>
    <row r="174" spans="2:18" ht="14.4">
      <c r="B174" s="66"/>
      <c r="G174" s="56"/>
      <c r="H174" s="56"/>
      <c r="I174" s="56"/>
      <c r="J174" s="56"/>
      <c r="K174" s="56"/>
      <c r="Q174" s="22"/>
      <c r="R174" s="134"/>
    </row>
    <row r="175" spans="2:18" ht="14.4">
      <c r="B175" s="66"/>
      <c r="G175" s="56"/>
      <c r="H175" s="56"/>
      <c r="I175" s="56"/>
      <c r="J175" s="56"/>
      <c r="K175" s="56"/>
      <c r="Q175" s="22"/>
      <c r="R175" s="134"/>
    </row>
    <row r="176" spans="2:18" ht="14.4">
      <c r="B176" s="66"/>
      <c r="G176" s="56"/>
      <c r="H176" s="56"/>
      <c r="I176" s="56"/>
      <c r="J176" s="56"/>
      <c r="K176" s="56"/>
      <c r="Q176" s="22"/>
      <c r="R176" s="134"/>
    </row>
    <row r="177" spans="2:18" ht="14.4">
      <c r="B177" s="66"/>
      <c r="G177" s="56"/>
      <c r="H177" s="56"/>
      <c r="I177" s="56"/>
      <c r="J177" s="56"/>
      <c r="K177" s="56"/>
      <c r="Q177" s="22"/>
      <c r="R177" s="134"/>
    </row>
    <row r="178" spans="2:18" ht="14.4">
      <c r="B178" s="66"/>
      <c r="G178" s="56"/>
      <c r="H178" s="56"/>
      <c r="I178" s="56"/>
      <c r="J178" s="56"/>
      <c r="K178" s="56"/>
      <c r="Q178" s="22"/>
      <c r="R178" s="134"/>
    </row>
    <row r="179" spans="2:18" ht="14.4">
      <c r="B179" s="66"/>
      <c r="G179" s="56"/>
      <c r="H179" s="56"/>
      <c r="I179" s="56"/>
      <c r="J179" s="56"/>
      <c r="K179" s="56"/>
      <c r="Q179" s="22"/>
      <c r="R179" s="134"/>
    </row>
    <row r="180" spans="2:18" ht="14.4">
      <c r="B180" s="66"/>
      <c r="G180" s="56"/>
      <c r="H180" s="56"/>
      <c r="I180" s="56"/>
      <c r="J180" s="56"/>
      <c r="K180" s="56"/>
      <c r="Q180" s="22"/>
      <c r="R180" s="134"/>
    </row>
    <row r="181" spans="2:18" ht="14.4">
      <c r="B181" s="66"/>
      <c r="G181" s="56"/>
      <c r="H181" s="56"/>
      <c r="I181" s="56"/>
      <c r="J181" s="56"/>
      <c r="K181" s="56"/>
      <c r="Q181" s="22"/>
      <c r="R181" s="134"/>
    </row>
    <row r="182" spans="2:18" ht="14.4">
      <c r="B182" s="66"/>
      <c r="G182" s="56"/>
      <c r="H182" s="56"/>
      <c r="I182" s="56"/>
      <c r="J182" s="56"/>
      <c r="K182" s="56"/>
      <c r="Q182" s="22"/>
      <c r="R182" s="134"/>
    </row>
    <row r="183" spans="2:18" ht="14.4">
      <c r="B183" s="66"/>
      <c r="G183" s="56"/>
      <c r="H183" s="56"/>
      <c r="I183" s="56"/>
      <c r="J183" s="56"/>
      <c r="K183" s="56"/>
      <c r="Q183" s="22"/>
      <c r="R183" s="134"/>
    </row>
    <row r="184" spans="2:18" ht="14.4">
      <c r="B184" s="66"/>
      <c r="G184" s="56"/>
      <c r="H184" s="56"/>
      <c r="I184" s="56"/>
      <c r="J184" s="56"/>
      <c r="K184" s="56"/>
      <c r="Q184" s="22"/>
      <c r="R184" s="134"/>
    </row>
    <row r="185" spans="2:18" ht="14.4">
      <c r="B185" s="66"/>
      <c r="G185" s="56"/>
      <c r="H185" s="56"/>
      <c r="I185" s="56"/>
      <c r="J185" s="56"/>
      <c r="K185" s="56"/>
      <c r="Q185" s="22"/>
      <c r="R185" s="134"/>
    </row>
    <row r="186" spans="2:18" ht="14.4">
      <c r="B186" s="66"/>
      <c r="G186" s="56"/>
      <c r="H186" s="56"/>
      <c r="I186" s="56"/>
      <c r="J186" s="56"/>
      <c r="K186" s="56"/>
      <c r="Q186" s="22"/>
      <c r="R186" s="134"/>
    </row>
    <row r="187" spans="2:18" ht="14.4">
      <c r="B187" s="66"/>
      <c r="G187" s="56"/>
      <c r="H187" s="56"/>
      <c r="I187" s="56"/>
      <c r="J187" s="56"/>
      <c r="K187" s="56"/>
      <c r="Q187" s="22"/>
      <c r="R187" s="134"/>
    </row>
    <row r="188" spans="2:18" ht="14.4">
      <c r="B188" s="66"/>
      <c r="G188" s="56"/>
      <c r="H188" s="56"/>
      <c r="I188" s="56"/>
      <c r="J188" s="56"/>
      <c r="K188" s="56"/>
      <c r="Q188" s="22"/>
      <c r="R188" s="134"/>
    </row>
    <row r="189" spans="2:18" ht="14.4">
      <c r="B189" s="66"/>
      <c r="G189" s="56"/>
      <c r="H189" s="56"/>
      <c r="I189" s="56"/>
      <c r="J189" s="56"/>
      <c r="K189" s="56"/>
      <c r="Q189" s="22"/>
      <c r="R189" s="134"/>
    </row>
    <row r="190" spans="2:18" ht="14.4">
      <c r="B190" s="66"/>
      <c r="G190" s="56"/>
      <c r="H190" s="56"/>
      <c r="I190" s="56"/>
      <c r="J190" s="56"/>
      <c r="K190" s="56"/>
      <c r="Q190" s="22"/>
      <c r="R190" s="134"/>
    </row>
    <row r="191" spans="2:18" ht="14.4">
      <c r="B191" s="66"/>
      <c r="G191" s="56"/>
      <c r="H191" s="56"/>
      <c r="I191" s="56"/>
      <c r="J191" s="56"/>
      <c r="K191" s="56"/>
      <c r="Q191" s="22"/>
      <c r="R191" s="134"/>
    </row>
    <row r="192" spans="2:18" ht="14.4">
      <c r="B192" s="66"/>
      <c r="G192" s="56"/>
      <c r="H192" s="56"/>
      <c r="I192" s="56"/>
      <c r="J192" s="56"/>
      <c r="K192" s="56"/>
      <c r="Q192" s="22"/>
      <c r="R192" s="134"/>
    </row>
    <row r="193" spans="2:18" ht="14.4">
      <c r="B193" s="66"/>
      <c r="G193" s="56"/>
      <c r="H193" s="56"/>
      <c r="I193" s="56"/>
      <c r="J193" s="56"/>
      <c r="K193" s="56"/>
      <c r="Q193" s="22"/>
      <c r="R193" s="134"/>
    </row>
    <row r="194" spans="2:18" ht="14.4">
      <c r="B194" s="66"/>
      <c r="G194" s="56"/>
      <c r="H194" s="56"/>
      <c r="I194" s="56"/>
      <c r="J194" s="56"/>
      <c r="K194" s="56"/>
      <c r="Q194" s="22"/>
      <c r="R194" s="134"/>
    </row>
    <row r="195" spans="2:18" ht="14.4">
      <c r="B195" s="66"/>
      <c r="G195" s="56"/>
      <c r="H195" s="56"/>
      <c r="I195" s="56"/>
      <c r="J195" s="56"/>
      <c r="K195" s="56"/>
      <c r="Q195" s="22"/>
      <c r="R195" s="134"/>
    </row>
    <row r="196" spans="2:18" ht="14.4">
      <c r="B196" s="66"/>
      <c r="G196" s="56"/>
      <c r="H196" s="56"/>
      <c r="I196" s="56"/>
      <c r="J196" s="56"/>
      <c r="K196" s="56"/>
      <c r="Q196" s="22"/>
      <c r="R196" s="134"/>
    </row>
    <row r="197" spans="2:18" ht="14.4">
      <c r="B197" s="66"/>
      <c r="G197" s="56"/>
      <c r="H197" s="56"/>
      <c r="I197" s="56"/>
      <c r="J197" s="56"/>
      <c r="K197" s="56"/>
      <c r="Q197" s="22"/>
      <c r="R197" s="134"/>
    </row>
    <row r="198" spans="2:18" ht="14.4">
      <c r="B198" s="66"/>
      <c r="G198" s="56"/>
      <c r="H198" s="56"/>
      <c r="I198" s="56"/>
      <c r="J198" s="56"/>
      <c r="K198" s="56"/>
      <c r="Q198" s="22"/>
      <c r="R198" s="134"/>
    </row>
    <row r="199" spans="2:18" ht="14.4">
      <c r="B199" s="66"/>
      <c r="G199" s="56"/>
      <c r="H199" s="56"/>
      <c r="I199" s="56"/>
      <c r="J199" s="56"/>
      <c r="K199" s="56"/>
      <c r="Q199" s="22"/>
      <c r="R199" s="134"/>
    </row>
    <row r="200" spans="2:18" ht="14.4">
      <c r="B200" s="66"/>
      <c r="G200" s="56"/>
      <c r="H200" s="56"/>
      <c r="I200" s="56"/>
      <c r="J200" s="56"/>
      <c r="K200" s="56"/>
      <c r="Q200" s="22"/>
      <c r="R200" s="134"/>
    </row>
    <row r="201" spans="2:18" ht="14.4">
      <c r="B201" s="66"/>
      <c r="G201" s="56"/>
      <c r="H201" s="56"/>
      <c r="I201" s="56"/>
      <c r="J201" s="56"/>
      <c r="K201" s="56"/>
      <c r="Q201" s="22"/>
      <c r="R201" s="134"/>
    </row>
    <row r="202" spans="2:18" ht="14.4">
      <c r="B202" s="66"/>
      <c r="G202" s="56"/>
      <c r="H202" s="56"/>
      <c r="I202" s="56"/>
      <c r="J202" s="56"/>
      <c r="K202" s="56"/>
      <c r="Q202" s="22"/>
      <c r="R202" s="134"/>
    </row>
    <row r="203" spans="2:18" ht="14.4">
      <c r="B203" s="66"/>
      <c r="G203" s="56"/>
      <c r="H203" s="56"/>
      <c r="I203" s="56"/>
      <c r="J203" s="56"/>
      <c r="K203" s="56"/>
      <c r="Q203" s="22"/>
      <c r="R203" s="134"/>
    </row>
    <row r="204" spans="2:18" ht="14.4">
      <c r="B204" s="66"/>
      <c r="G204" s="56"/>
      <c r="H204" s="56"/>
      <c r="I204" s="56"/>
      <c r="J204" s="56"/>
      <c r="K204" s="56"/>
      <c r="Q204" s="22"/>
      <c r="R204" s="134"/>
    </row>
    <row r="205" spans="2:18" ht="14.4">
      <c r="B205" s="66"/>
      <c r="G205" s="56"/>
      <c r="H205" s="56"/>
      <c r="I205" s="56"/>
      <c r="J205" s="56"/>
      <c r="K205" s="56"/>
      <c r="Q205" s="22"/>
      <c r="R205" s="134"/>
    </row>
    <row r="206" spans="2:18" ht="14.4">
      <c r="B206" s="66"/>
      <c r="G206" s="56"/>
      <c r="H206" s="56"/>
      <c r="I206" s="56"/>
      <c r="J206" s="56"/>
      <c r="K206" s="56"/>
      <c r="Q206" s="22"/>
      <c r="R206" s="134"/>
    </row>
    <row r="207" spans="2:18" ht="14.4">
      <c r="B207" s="66"/>
      <c r="G207" s="56"/>
      <c r="H207" s="56"/>
      <c r="I207" s="56"/>
      <c r="J207" s="56"/>
      <c r="K207" s="56"/>
      <c r="Q207" s="22"/>
      <c r="R207" s="134"/>
    </row>
    <row r="208" spans="2:18" ht="14.4">
      <c r="B208" s="66"/>
      <c r="G208" s="56"/>
      <c r="H208" s="56"/>
      <c r="I208" s="56"/>
      <c r="J208" s="56"/>
      <c r="K208" s="56"/>
      <c r="Q208" s="22"/>
      <c r="R208" s="134"/>
    </row>
    <row r="209" spans="2:18" ht="14.4">
      <c r="B209" s="66"/>
      <c r="G209" s="56"/>
      <c r="H209" s="56"/>
      <c r="I209" s="56"/>
      <c r="J209" s="56"/>
      <c r="K209" s="56"/>
      <c r="Q209" s="22"/>
      <c r="R209" s="134"/>
    </row>
    <row r="210" spans="2:18" ht="14.4">
      <c r="B210" s="66"/>
      <c r="G210" s="56"/>
      <c r="H210" s="56"/>
      <c r="I210" s="56"/>
      <c r="J210" s="56"/>
      <c r="K210" s="56"/>
      <c r="Q210" s="22"/>
      <c r="R210" s="134"/>
    </row>
    <row r="211" spans="2:18" ht="14.4">
      <c r="B211" s="66"/>
      <c r="G211" s="56"/>
      <c r="H211" s="56"/>
      <c r="I211" s="56"/>
      <c r="J211" s="56"/>
      <c r="K211" s="56"/>
      <c r="Q211" s="22"/>
      <c r="R211" s="134"/>
    </row>
    <row r="212" spans="2:18" ht="14.4">
      <c r="B212" s="66"/>
      <c r="G212" s="56"/>
      <c r="H212" s="56"/>
      <c r="I212" s="56"/>
      <c r="J212" s="56"/>
      <c r="K212" s="56"/>
      <c r="Q212" s="22"/>
      <c r="R212" s="134"/>
    </row>
    <row r="213" spans="2:18" ht="14.4">
      <c r="B213" s="66"/>
      <c r="G213" s="56"/>
      <c r="H213" s="56"/>
      <c r="I213" s="56"/>
      <c r="J213" s="56"/>
      <c r="K213" s="56"/>
      <c r="Q213" s="22"/>
      <c r="R213" s="134"/>
    </row>
    <row r="214" spans="2:18" ht="14.4">
      <c r="B214" s="66"/>
      <c r="G214" s="56"/>
      <c r="H214" s="56"/>
      <c r="I214" s="56"/>
      <c r="J214" s="56"/>
      <c r="K214" s="56"/>
      <c r="Q214" s="22"/>
      <c r="R214" s="134"/>
    </row>
    <row r="215" spans="2:18" ht="14.4">
      <c r="B215" s="66"/>
      <c r="G215" s="56"/>
      <c r="H215" s="56"/>
      <c r="I215" s="56"/>
      <c r="J215" s="56"/>
      <c r="K215" s="56"/>
      <c r="Q215" s="22"/>
      <c r="R215" s="134"/>
    </row>
    <row r="216" spans="2:18" ht="14.4">
      <c r="B216" s="66"/>
      <c r="G216" s="56"/>
      <c r="H216" s="56"/>
      <c r="I216" s="56"/>
      <c r="J216" s="56"/>
      <c r="K216" s="56"/>
      <c r="Q216" s="22"/>
      <c r="R216" s="134"/>
    </row>
    <row r="217" spans="2:18" ht="14.4">
      <c r="B217" s="66"/>
      <c r="G217" s="56"/>
      <c r="H217" s="56"/>
      <c r="I217" s="56"/>
      <c r="J217" s="56"/>
      <c r="K217" s="56"/>
      <c r="Q217" s="22"/>
      <c r="R217" s="134"/>
    </row>
    <row r="218" spans="2:18" ht="14.4">
      <c r="B218" s="66"/>
      <c r="G218" s="56"/>
      <c r="H218" s="56"/>
      <c r="I218" s="56"/>
      <c r="J218" s="56"/>
      <c r="K218" s="56"/>
      <c r="Q218" s="22"/>
      <c r="R218" s="134"/>
    </row>
    <row r="219" spans="2:18" ht="14.4">
      <c r="B219" s="66"/>
      <c r="G219" s="56"/>
      <c r="H219" s="56"/>
      <c r="I219" s="56"/>
      <c r="J219" s="56"/>
      <c r="K219" s="56"/>
      <c r="Q219" s="22"/>
      <c r="R219" s="134"/>
    </row>
    <row r="220" spans="2:18" ht="14.4">
      <c r="B220" s="66"/>
      <c r="G220" s="56"/>
      <c r="H220" s="56"/>
      <c r="I220" s="56"/>
      <c r="J220" s="56"/>
      <c r="K220" s="56"/>
      <c r="Q220" s="22"/>
      <c r="R220" s="134"/>
    </row>
    <row r="221" spans="2:18" ht="14.4">
      <c r="B221" s="66"/>
      <c r="G221" s="56"/>
      <c r="H221" s="56"/>
      <c r="I221" s="56"/>
      <c r="J221" s="56"/>
      <c r="K221" s="56"/>
      <c r="Q221" s="22"/>
      <c r="R221" s="134"/>
    </row>
    <row r="222" spans="2:18" ht="14.4">
      <c r="B222" s="66"/>
      <c r="G222" s="56"/>
      <c r="H222" s="56"/>
      <c r="I222" s="56"/>
      <c r="J222" s="56"/>
      <c r="K222" s="56"/>
      <c r="Q222" s="22"/>
      <c r="R222" s="134"/>
    </row>
    <row r="223" spans="2:18" ht="14.4">
      <c r="B223" s="66"/>
      <c r="G223" s="56"/>
      <c r="H223" s="56"/>
      <c r="I223" s="56"/>
      <c r="J223" s="56"/>
      <c r="K223" s="56"/>
      <c r="Q223" s="22"/>
      <c r="R223" s="134"/>
    </row>
    <row r="224" spans="2:18" ht="14.4">
      <c r="B224" s="66"/>
      <c r="G224" s="56"/>
      <c r="H224" s="56"/>
      <c r="I224" s="56"/>
      <c r="J224" s="56"/>
      <c r="K224" s="56"/>
      <c r="Q224" s="22"/>
      <c r="R224" s="134"/>
    </row>
    <row r="225" spans="2:18" ht="14.4">
      <c r="B225" s="66"/>
      <c r="G225" s="56"/>
      <c r="H225" s="56"/>
      <c r="I225" s="56"/>
      <c r="J225" s="56"/>
      <c r="K225" s="56"/>
      <c r="Q225" s="22"/>
      <c r="R225" s="134"/>
    </row>
    <row r="226" spans="2:18" ht="14.4">
      <c r="B226" s="66"/>
      <c r="G226" s="56"/>
      <c r="H226" s="56"/>
      <c r="I226" s="56"/>
      <c r="J226" s="56"/>
      <c r="K226" s="56"/>
      <c r="Q226" s="22"/>
      <c r="R226" s="134"/>
    </row>
    <row r="227" spans="2:18" ht="14.4">
      <c r="B227" s="66"/>
      <c r="G227" s="56"/>
      <c r="H227" s="56"/>
      <c r="I227" s="56"/>
      <c r="J227" s="56"/>
      <c r="K227" s="56"/>
      <c r="Q227" s="22"/>
      <c r="R227" s="134"/>
    </row>
    <row r="228" spans="2:18" ht="14.4">
      <c r="B228" s="66"/>
      <c r="G228" s="56"/>
      <c r="H228" s="56"/>
      <c r="I228" s="56"/>
      <c r="J228" s="56"/>
      <c r="K228" s="56"/>
      <c r="Q228" s="22"/>
      <c r="R228" s="134"/>
    </row>
    <row r="229" spans="2:18" ht="14.4">
      <c r="B229" s="66"/>
      <c r="G229" s="56"/>
      <c r="H229" s="56"/>
      <c r="I229" s="56"/>
      <c r="J229" s="56"/>
      <c r="K229" s="56"/>
      <c r="Q229" s="22"/>
      <c r="R229" s="134"/>
    </row>
    <row r="230" spans="2:18" ht="14.4">
      <c r="B230" s="66"/>
      <c r="G230" s="56"/>
      <c r="H230" s="56"/>
      <c r="I230" s="56"/>
      <c r="J230" s="56"/>
      <c r="K230" s="56"/>
      <c r="Q230" s="22"/>
      <c r="R230" s="134"/>
    </row>
    <row r="231" spans="2:18" ht="14.4">
      <c r="B231" s="66"/>
      <c r="G231" s="56"/>
      <c r="H231" s="56"/>
      <c r="I231" s="56"/>
      <c r="J231" s="56"/>
      <c r="K231" s="56"/>
      <c r="Q231" s="22"/>
      <c r="R231" s="134"/>
    </row>
    <row r="232" spans="2:18" ht="14.4">
      <c r="B232" s="66"/>
      <c r="G232" s="56"/>
      <c r="H232" s="56"/>
      <c r="I232" s="56"/>
      <c r="J232" s="56"/>
      <c r="K232" s="56"/>
      <c r="Q232" s="22"/>
      <c r="R232" s="134"/>
    </row>
    <row r="233" spans="2:18" ht="14.4">
      <c r="B233" s="66"/>
      <c r="G233" s="56"/>
      <c r="H233" s="56"/>
      <c r="I233" s="56"/>
      <c r="J233" s="56"/>
      <c r="K233" s="56"/>
      <c r="Q233" s="22"/>
      <c r="R233" s="134"/>
    </row>
    <row r="234" spans="2:18" ht="14.4">
      <c r="B234" s="66"/>
      <c r="G234" s="56"/>
      <c r="H234" s="56"/>
      <c r="I234" s="56"/>
      <c r="J234" s="56"/>
      <c r="K234" s="56"/>
      <c r="Q234" s="22"/>
      <c r="R234" s="134"/>
    </row>
    <row r="235" spans="2:18" ht="14.4">
      <c r="B235" s="66"/>
      <c r="G235" s="56"/>
      <c r="H235" s="56"/>
      <c r="I235" s="56"/>
      <c r="J235" s="56"/>
      <c r="K235" s="56"/>
      <c r="Q235" s="22"/>
      <c r="R235" s="134"/>
    </row>
    <row r="236" spans="2:18" ht="14.4">
      <c r="B236" s="66"/>
      <c r="G236" s="56"/>
      <c r="H236" s="56"/>
      <c r="I236" s="56"/>
      <c r="J236" s="56"/>
      <c r="K236" s="56"/>
      <c r="Q236" s="22"/>
      <c r="R236" s="134"/>
    </row>
    <row r="237" spans="2:18" ht="14.4">
      <c r="B237" s="66"/>
      <c r="G237" s="56"/>
      <c r="H237" s="56"/>
      <c r="I237" s="56"/>
      <c r="J237" s="56"/>
      <c r="K237" s="56"/>
      <c r="Q237" s="22"/>
      <c r="R237" s="134"/>
    </row>
    <row r="238" spans="2:18" ht="14.4">
      <c r="B238" s="66"/>
      <c r="G238" s="56"/>
      <c r="H238" s="56"/>
      <c r="I238" s="56"/>
      <c r="J238" s="56"/>
      <c r="K238" s="56"/>
      <c r="Q238" s="22"/>
      <c r="R238" s="134"/>
    </row>
    <row r="239" spans="2:18" ht="14.4">
      <c r="B239" s="66"/>
      <c r="G239" s="56"/>
      <c r="H239" s="56"/>
      <c r="I239" s="56"/>
      <c r="J239" s="56"/>
      <c r="K239" s="56"/>
      <c r="Q239" s="22"/>
      <c r="R239" s="134"/>
    </row>
    <row r="240" spans="2:18" ht="14.4">
      <c r="B240" s="66"/>
      <c r="G240" s="56"/>
      <c r="H240" s="56"/>
      <c r="I240" s="56"/>
      <c r="J240" s="56"/>
      <c r="K240" s="56"/>
      <c r="Q240" s="22"/>
      <c r="R240" s="134"/>
    </row>
    <row r="241" spans="2:18" ht="14.4">
      <c r="B241" s="66"/>
      <c r="G241" s="56"/>
      <c r="H241" s="56"/>
      <c r="I241" s="56"/>
      <c r="J241" s="56"/>
      <c r="K241" s="56"/>
      <c r="Q241" s="22"/>
      <c r="R241" s="134"/>
    </row>
    <row r="242" spans="2:18" ht="14.4">
      <c r="B242" s="66"/>
      <c r="G242" s="56"/>
      <c r="H242" s="56"/>
      <c r="I242" s="56"/>
      <c r="J242" s="56"/>
      <c r="K242" s="56"/>
      <c r="Q242" s="22"/>
      <c r="R242" s="134"/>
    </row>
    <row r="243" spans="2:18" ht="14.4">
      <c r="B243" s="66"/>
      <c r="G243" s="56"/>
      <c r="H243" s="56"/>
      <c r="I243" s="56"/>
      <c r="J243" s="56"/>
      <c r="K243" s="56"/>
      <c r="Q243" s="22"/>
      <c r="R243" s="134"/>
    </row>
    <row r="244" spans="2:18" ht="14.4">
      <c r="B244" s="66"/>
      <c r="G244" s="56"/>
      <c r="H244" s="56"/>
      <c r="I244" s="56"/>
      <c r="J244" s="56"/>
      <c r="K244" s="56"/>
      <c r="Q244" s="22"/>
      <c r="R244" s="134"/>
    </row>
    <row r="245" spans="2:18" ht="14.4">
      <c r="B245" s="66"/>
      <c r="G245" s="56"/>
      <c r="H245" s="56"/>
      <c r="I245" s="56"/>
      <c r="J245" s="56"/>
      <c r="K245" s="56"/>
      <c r="Q245" s="22"/>
      <c r="R245" s="134"/>
    </row>
    <row r="246" spans="2:18" ht="14.4">
      <c r="B246" s="66"/>
      <c r="G246" s="56"/>
      <c r="H246" s="56"/>
      <c r="I246" s="56"/>
      <c r="J246" s="56"/>
      <c r="K246" s="56"/>
      <c r="Q246" s="22"/>
      <c r="R246" s="134"/>
    </row>
    <row r="247" spans="2:18" ht="14.4">
      <c r="B247" s="66"/>
      <c r="G247" s="56"/>
      <c r="H247" s="56"/>
      <c r="I247" s="56"/>
      <c r="J247" s="56"/>
      <c r="K247" s="56"/>
      <c r="Q247" s="22"/>
      <c r="R247" s="134"/>
    </row>
    <row r="248" spans="2:18" ht="14.4">
      <c r="B248" s="66"/>
      <c r="G248" s="56"/>
      <c r="H248" s="56"/>
      <c r="I248" s="56"/>
      <c r="J248" s="56"/>
      <c r="K248" s="56"/>
      <c r="Q248" s="22"/>
      <c r="R248" s="134"/>
    </row>
    <row r="249" spans="2:18" ht="14.4">
      <c r="B249" s="66"/>
      <c r="G249" s="56"/>
      <c r="H249" s="56"/>
      <c r="I249" s="56"/>
      <c r="J249" s="56"/>
      <c r="K249" s="56"/>
      <c r="Q249" s="22"/>
      <c r="R249" s="134"/>
    </row>
    <row r="250" spans="2:18" ht="14.4">
      <c r="B250" s="66"/>
      <c r="G250" s="56"/>
      <c r="H250" s="56"/>
      <c r="I250" s="56"/>
      <c r="J250" s="56"/>
      <c r="K250" s="56"/>
      <c r="Q250" s="22"/>
      <c r="R250" s="134"/>
    </row>
    <row r="251" spans="2:18" ht="14.4">
      <c r="B251" s="66"/>
      <c r="G251" s="56"/>
      <c r="H251" s="56"/>
      <c r="I251" s="56"/>
      <c r="J251" s="56"/>
      <c r="K251" s="56"/>
      <c r="Q251" s="22"/>
      <c r="R251" s="134"/>
    </row>
    <row r="252" spans="2:18" ht="14.4">
      <c r="B252" s="66"/>
      <c r="G252" s="56"/>
      <c r="H252" s="56"/>
      <c r="I252" s="56"/>
      <c r="J252" s="56"/>
      <c r="K252" s="56"/>
      <c r="Q252" s="22"/>
      <c r="R252" s="134"/>
    </row>
    <row r="253" spans="2:18" ht="14.4">
      <c r="B253" s="66"/>
      <c r="G253" s="56"/>
      <c r="H253" s="56"/>
      <c r="I253" s="56"/>
      <c r="J253" s="56"/>
      <c r="K253" s="56"/>
      <c r="Q253" s="22"/>
      <c r="R253" s="134"/>
    </row>
    <row r="254" spans="2:18" ht="14.4">
      <c r="B254" s="66"/>
      <c r="G254" s="56"/>
      <c r="H254" s="56"/>
      <c r="I254" s="56"/>
      <c r="J254" s="56"/>
      <c r="K254" s="56"/>
      <c r="Q254" s="22"/>
      <c r="R254" s="134"/>
    </row>
    <row r="255" spans="2:18" ht="14.4">
      <c r="B255" s="66"/>
      <c r="G255" s="56"/>
      <c r="H255" s="56"/>
      <c r="I255" s="56"/>
      <c r="J255" s="56"/>
      <c r="K255" s="56"/>
      <c r="Q255" s="22"/>
      <c r="R255" s="134"/>
    </row>
    <row r="256" spans="2:18" ht="14.4">
      <c r="B256" s="66"/>
      <c r="G256" s="56"/>
      <c r="H256" s="56"/>
      <c r="I256" s="56"/>
      <c r="J256" s="56"/>
      <c r="K256" s="56"/>
      <c r="Q256" s="22"/>
      <c r="R256" s="134"/>
    </row>
    <row r="257" spans="2:18" ht="14.4">
      <c r="B257" s="66"/>
      <c r="G257" s="56"/>
      <c r="H257" s="56"/>
      <c r="I257" s="56"/>
      <c r="J257" s="56"/>
      <c r="K257" s="56"/>
      <c r="Q257" s="22"/>
      <c r="R257" s="134"/>
    </row>
    <row r="258" spans="2:18" ht="14.4">
      <c r="B258" s="66"/>
      <c r="G258" s="56"/>
      <c r="H258" s="56"/>
      <c r="I258" s="56"/>
      <c r="J258" s="56"/>
      <c r="K258" s="56"/>
      <c r="Q258" s="22"/>
      <c r="R258" s="134"/>
    </row>
    <row r="259" spans="2:18" ht="14.4">
      <c r="B259" s="66"/>
      <c r="G259" s="56"/>
      <c r="H259" s="56"/>
      <c r="I259" s="56"/>
      <c r="J259" s="56"/>
      <c r="K259" s="56"/>
      <c r="Q259" s="22"/>
      <c r="R259" s="134"/>
    </row>
    <row r="260" spans="2:18" ht="14.4">
      <c r="B260" s="66"/>
      <c r="G260" s="56"/>
      <c r="H260" s="56"/>
      <c r="I260" s="56"/>
      <c r="J260" s="56"/>
      <c r="K260" s="56"/>
      <c r="Q260" s="22"/>
      <c r="R260" s="134"/>
    </row>
    <row r="261" spans="2:18" ht="14.4">
      <c r="B261" s="66"/>
      <c r="G261" s="56"/>
      <c r="H261" s="56"/>
      <c r="I261" s="56"/>
      <c r="J261" s="56"/>
      <c r="K261" s="56"/>
      <c r="Q261" s="22"/>
      <c r="R261" s="134"/>
    </row>
    <row r="262" spans="2:18" ht="14.4">
      <c r="B262" s="66"/>
      <c r="G262" s="56"/>
      <c r="H262" s="56"/>
      <c r="I262" s="56"/>
      <c r="J262" s="56"/>
      <c r="K262" s="56"/>
      <c r="Q262" s="22"/>
      <c r="R262" s="134"/>
    </row>
    <row r="263" spans="2:18" ht="14.4">
      <c r="B263" s="66"/>
      <c r="G263" s="56"/>
      <c r="H263" s="56"/>
      <c r="I263" s="56"/>
      <c r="J263" s="56"/>
      <c r="K263" s="56"/>
      <c r="Q263" s="22"/>
      <c r="R263" s="134"/>
    </row>
    <row r="264" spans="2:18" ht="14.4">
      <c r="B264" s="66"/>
      <c r="G264" s="56"/>
      <c r="H264" s="56"/>
      <c r="I264" s="56"/>
      <c r="J264" s="56"/>
      <c r="K264" s="56"/>
      <c r="Q264" s="22"/>
      <c r="R264" s="134"/>
    </row>
    <row r="265" spans="2:18" ht="14.4">
      <c r="B265" s="66"/>
      <c r="G265" s="56"/>
      <c r="H265" s="56"/>
      <c r="I265" s="56"/>
      <c r="J265" s="56"/>
      <c r="K265" s="56"/>
      <c r="Q265" s="22"/>
      <c r="R265" s="134"/>
    </row>
    <row r="266" spans="2:18" ht="14.4">
      <c r="B266" s="66"/>
      <c r="G266" s="56"/>
      <c r="H266" s="56"/>
      <c r="I266" s="56"/>
      <c r="J266" s="56"/>
      <c r="K266" s="56"/>
      <c r="Q266" s="22"/>
      <c r="R266" s="134"/>
    </row>
    <row r="267" spans="2:18" ht="14.4">
      <c r="B267" s="66"/>
      <c r="G267" s="56"/>
      <c r="H267" s="56"/>
      <c r="I267" s="56"/>
      <c r="J267" s="56"/>
      <c r="K267" s="56"/>
      <c r="Q267" s="22"/>
      <c r="R267" s="134"/>
    </row>
    <row r="268" spans="2:18" ht="14.4">
      <c r="B268" s="66"/>
      <c r="G268" s="56"/>
      <c r="H268" s="56"/>
      <c r="I268" s="56"/>
      <c r="J268" s="56"/>
      <c r="K268" s="56"/>
      <c r="Q268" s="22"/>
      <c r="R268" s="134"/>
    </row>
    <row r="269" spans="2:18" ht="14.4">
      <c r="B269" s="66"/>
      <c r="G269" s="56"/>
      <c r="H269" s="56"/>
      <c r="I269" s="56"/>
      <c r="J269" s="56"/>
      <c r="K269" s="56"/>
      <c r="Q269" s="22"/>
      <c r="R269" s="134"/>
    </row>
    <row r="270" spans="2:18" ht="14.4">
      <c r="B270" s="66"/>
      <c r="G270" s="56"/>
      <c r="H270" s="56"/>
      <c r="I270" s="56"/>
      <c r="J270" s="56"/>
      <c r="K270" s="56"/>
      <c r="Q270" s="22"/>
      <c r="R270" s="134"/>
    </row>
    <row r="271" spans="2:18" ht="14.4">
      <c r="B271" s="66"/>
      <c r="G271" s="56"/>
      <c r="H271" s="56"/>
      <c r="I271" s="56"/>
      <c r="J271" s="56"/>
      <c r="K271" s="56"/>
      <c r="Q271" s="22"/>
      <c r="R271" s="134"/>
    </row>
    <row r="272" spans="2:18" ht="14.4">
      <c r="B272" s="66"/>
      <c r="G272" s="56"/>
      <c r="H272" s="56"/>
      <c r="I272" s="56"/>
      <c r="J272" s="56"/>
      <c r="K272" s="56"/>
      <c r="Q272" s="22"/>
      <c r="R272" s="134"/>
    </row>
    <row r="273" spans="2:18" ht="14.4">
      <c r="B273" s="66"/>
      <c r="G273" s="56"/>
      <c r="H273" s="56"/>
      <c r="I273" s="56"/>
      <c r="J273" s="56"/>
      <c r="K273" s="56"/>
      <c r="Q273" s="22"/>
      <c r="R273" s="134"/>
    </row>
    <row r="274" spans="2:18" ht="14.4">
      <c r="B274" s="66"/>
      <c r="G274" s="56"/>
      <c r="H274" s="56"/>
      <c r="I274" s="56"/>
      <c r="J274" s="56"/>
      <c r="K274" s="56"/>
      <c r="Q274" s="22"/>
      <c r="R274" s="134"/>
    </row>
    <row r="275" spans="2:18" ht="14.4">
      <c r="B275" s="66"/>
      <c r="G275" s="56"/>
      <c r="H275" s="56"/>
      <c r="I275" s="56"/>
      <c r="J275" s="56"/>
      <c r="K275" s="56"/>
      <c r="Q275" s="22"/>
      <c r="R275" s="134"/>
    </row>
    <row r="276" spans="2:18" ht="14.4">
      <c r="B276" s="66"/>
      <c r="G276" s="56"/>
      <c r="H276" s="56"/>
      <c r="I276" s="56"/>
      <c r="J276" s="56"/>
      <c r="K276" s="56"/>
      <c r="Q276" s="22"/>
      <c r="R276" s="134"/>
    </row>
    <row r="277" spans="2:18" ht="14.4">
      <c r="B277" s="66"/>
      <c r="G277" s="56"/>
      <c r="H277" s="56"/>
      <c r="I277" s="56"/>
      <c r="J277" s="56"/>
      <c r="K277" s="56"/>
      <c r="Q277" s="22"/>
      <c r="R277" s="134"/>
    </row>
    <row r="278" spans="2:18" ht="14.4">
      <c r="B278" s="66"/>
      <c r="G278" s="56"/>
      <c r="H278" s="56"/>
      <c r="I278" s="56"/>
      <c r="J278" s="56"/>
      <c r="K278" s="56"/>
      <c r="Q278" s="22"/>
      <c r="R278" s="134"/>
    </row>
    <row r="279" spans="2:18" ht="14.4">
      <c r="B279" s="66"/>
      <c r="G279" s="56"/>
      <c r="H279" s="56"/>
      <c r="I279" s="56"/>
      <c r="J279" s="56"/>
      <c r="K279" s="56"/>
      <c r="Q279" s="22"/>
      <c r="R279" s="134"/>
    </row>
    <row r="280" spans="2:18" ht="14.4">
      <c r="B280" s="66"/>
      <c r="G280" s="56"/>
      <c r="H280" s="56"/>
      <c r="I280" s="56"/>
      <c r="J280" s="56"/>
      <c r="K280" s="56"/>
      <c r="Q280" s="22"/>
      <c r="R280" s="134"/>
    </row>
    <row r="281" spans="2:18" ht="14.4">
      <c r="B281" s="66"/>
      <c r="G281" s="56"/>
      <c r="H281" s="56"/>
      <c r="I281" s="56"/>
      <c r="J281" s="56"/>
      <c r="K281" s="56"/>
      <c r="Q281" s="22"/>
      <c r="R281" s="134"/>
    </row>
    <row r="282" spans="2:18" ht="14.4">
      <c r="B282" s="66"/>
      <c r="G282" s="56"/>
      <c r="H282" s="56"/>
      <c r="I282" s="56"/>
      <c r="J282" s="56"/>
      <c r="K282" s="56"/>
      <c r="Q282" s="22"/>
      <c r="R282" s="134"/>
    </row>
    <row r="283" spans="2:18" ht="14.4">
      <c r="B283" s="66"/>
      <c r="G283" s="56"/>
      <c r="H283" s="56"/>
      <c r="I283" s="56"/>
      <c r="J283" s="56"/>
      <c r="K283" s="56"/>
      <c r="Q283" s="22"/>
      <c r="R283" s="134"/>
    </row>
    <row r="284" spans="2:18" ht="14.4">
      <c r="B284" s="66"/>
      <c r="G284" s="56"/>
      <c r="H284" s="56"/>
      <c r="I284" s="56"/>
      <c r="J284" s="56"/>
      <c r="K284" s="56"/>
      <c r="Q284" s="22"/>
      <c r="R284" s="134"/>
    </row>
    <row r="285" spans="2:18" ht="14.4">
      <c r="B285" s="66"/>
      <c r="G285" s="56"/>
      <c r="H285" s="56"/>
      <c r="I285" s="56"/>
      <c r="J285" s="56"/>
      <c r="K285" s="56"/>
      <c r="Q285" s="22"/>
      <c r="R285" s="134"/>
    </row>
    <row r="286" spans="2:18" ht="14.4">
      <c r="B286" s="66"/>
      <c r="G286" s="56"/>
      <c r="H286" s="56"/>
      <c r="I286" s="56"/>
      <c r="J286" s="56"/>
      <c r="K286" s="56"/>
      <c r="Q286" s="22"/>
      <c r="R286" s="134"/>
    </row>
    <row r="287" spans="2:18" ht="14.4">
      <c r="B287" s="66"/>
      <c r="G287" s="56"/>
      <c r="H287" s="56"/>
      <c r="I287" s="56"/>
      <c r="J287" s="56"/>
      <c r="K287" s="56"/>
      <c r="Q287" s="22"/>
      <c r="R287" s="134"/>
    </row>
    <row r="288" spans="2:18" ht="14.4">
      <c r="B288" s="66"/>
      <c r="G288" s="56"/>
      <c r="H288" s="56"/>
      <c r="I288" s="56"/>
      <c r="J288" s="56"/>
      <c r="K288" s="56"/>
      <c r="Q288" s="22"/>
      <c r="R288" s="134"/>
    </row>
    <row r="289" spans="2:18" ht="14.4">
      <c r="B289" s="66"/>
      <c r="G289" s="56"/>
      <c r="H289" s="56"/>
      <c r="I289" s="56"/>
      <c r="J289" s="56"/>
      <c r="K289" s="56"/>
      <c r="Q289" s="22"/>
      <c r="R289" s="134"/>
    </row>
    <row r="290" spans="2:18" ht="14.4">
      <c r="B290" s="66"/>
      <c r="G290" s="56"/>
      <c r="H290" s="56"/>
      <c r="I290" s="56"/>
      <c r="J290" s="56"/>
      <c r="K290" s="56"/>
      <c r="Q290" s="22"/>
      <c r="R290" s="134"/>
    </row>
    <row r="291" spans="2:18" ht="14.4">
      <c r="B291" s="66"/>
      <c r="G291" s="56"/>
      <c r="H291" s="56"/>
      <c r="I291" s="56"/>
      <c r="J291" s="56"/>
      <c r="K291" s="56"/>
      <c r="Q291" s="22"/>
      <c r="R291" s="134"/>
    </row>
    <row r="292" spans="2:18" ht="14.4">
      <c r="B292" s="66"/>
      <c r="G292" s="56"/>
      <c r="H292" s="56"/>
      <c r="I292" s="56"/>
      <c r="J292" s="56"/>
      <c r="K292" s="56"/>
      <c r="Q292" s="22"/>
      <c r="R292" s="134"/>
    </row>
    <row r="293" spans="2:18" ht="14.4">
      <c r="B293" s="66"/>
      <c r="G293" s="56"/>
      <c r="H293" s="56"/>
      <c r="I293" s="56"/>
      <c r="J293" s="56"/>
      <c r="K293" s="56"/>
      <c r="Q293" s="22"/>
      <c r="R293" s="134"/>
    </row>
    <row r="294" spans="2:18" ht="14.4">
      <c r="B294" s="66"/>
      <c r="G294" s="56"/>
      <c r="H294" s="56"/>
      <c r="I294" s="56"/>
      <c r="J294" s="56"/>
      <c r="K294" s="56"/>
      <c r="Q294" s="22"/>
      <c r="R294" s="134"/>
    </row>
    <row r="295" spans="2:18" ht="14.4">
      <c r="B295" s="66"/>
      <c r="G295" s="56"/>
      <c r="H295" s="56"/>
      <c r="I295" s="56"/>
      <c r="J295" s="56"/>
      <c r="K295" s="56"/>
      <c r="Q295" s="22"/>
      <c r="R295" s="134"/>
    </row>
    <row r="296" spans="2:18" ht="14.4">
      <c r="B296" s="66"/>
      <c r="G296" s="56"/>
      <c r="H296" s="56"/>
      <c r="I296" s="56"/>
      <c r="J296" s="56"/>
      <c r="K296" s="56"/>
      <c r="Q296" s="22"/>
      <c r="R296" s="134"/>
    </row>
    <row r="297" spans="2:18" ht="14.4">
      <c r="B297" s="66"/>
      <c r="G297" s="56"/>
      <c r="H297" s="56"/>
      <c r="I297" s="56"/>
      <c r="J297" s="56"/>
      <c r="K297" s="56"/>
      <c r="Q297" s="22"/>
      <c r="R297" s="134"/>
    </row>
    <row r="298" spans="2:18" ht="14.4">
      <c r="B298" s="66"/>
      <c r="G298" s="56"/>
      <c r="H298" s="56"/>
      <c r="I298" s="56"/>
      <c r="J298" s="56"/>
      <c r="K298" s="56"/>
      <c r="Q298" s="22"/>
      <c r="R298" s="134"/>
    </row>
    <row r="299" spans="2:18" ht="14.4">
      <c r="B299" s="66"/>
      <c r="G299" s="56"/>
      <c r="H299" s="56"/>
      <c r="I299" s="56"/>
      <c r="J299" s="56"/>
      <c r="K299" s="56"/>
      <c r="Q299" s="22"/>
      <c r="R299" s="134"/>
    </row>
    <row r="300" spans="2:18" ht="14.4">
      <c r="B300" s="66"/>
      <c r="G300" s="56"/>
      <c r="H300" s="56"/>
      <c r="I300" s="56"/>
      <c r="J300" s="56"/>
      <c r="K300" s="56"/>
      <c r="Q300" s="22"/>
      <c r="R300" s="134"/>
    </row>
    <row r="301" spans="2:18" ht="14.4">
      <c r="B301" s="66"/>
      <c r="G301" s="56"/>
      <c r="H301" s="56"/>
      <c r="I301" s="56"/>
      <c r="J301" s="56"/>
      <c r="K301" s="56"/>
      <c r="Q301" s="22"/>
      <c r="R301" s="134"/>
    </row>
    <row r="302" spans="2:18" ht="14.4">
      <c r="B302" s="66"/>
      <c r="G302" s="56"/>
      <c r="H302" s="56"/>
      <c r="I302" s="56"/>
      <c r="J302" s="56"/>
      <c r="K302" s="56"/>
      <c r="Q302" s="22"/>
      <c r="R302" s="134"/>
    </row>
    <row r="303" spans="2:18" ht="14.4">
      <c r="B303" s="66"/>
      <c r="G303" s="56"/>
      <c r="H303" s="56"/>
      <c r="I303" s="56"/>
      <c r="J303" s="56"/>
      <c r="K303" s="56"/>
      <c r="Q303" s="22"/>
      <c r="R303" s="134"/>
    </row>
    <row r="304" spans="2:18" ht="14.4">
      <c r="B304" s="66"/>
      <c r="G304" s="56"/>
      <c r="H304" s="56"/>
      <c r="I304" s="56"/>
      <c r="J304" s="56"/>
      <c r="K304" s="56"/>
      <c r="Q304" s="22"/>
      <c r="R304" s="134"/>
    </row>
    <row r="305" spans="2:18" ht="14.4">
      <c r="B305" s="66"/>
      <c r="G305" s="56"/>
      <c r="H305" s="56"/>
      <c r="I305" s="56"/>
      <c r="J305" s="56"/>
      <c r="K305" s="56"/>
      <c r="Q305" s="22"/>
      <c r="R305" s="134"/>
    </row>
    <row r="306" spans="2:18" ht="14.4">
      <c r="B306" s="66"/>
      <c r="G306" s="56"/>
      <c r="H306" s="56"/>
      <c r="I306" s="56"/>
      <c r="J306" s="56"/>
      <c r="K306" s="56"/>
      <c r="Q306" s="22"/>
      <c r="R306" s="134"/>
    </row>
    <row r="307" spans="2:18" ht="14.4">
      <c r="B307" s="66"/>
      <c r="G307" s="56"/>
      <c r="H307" s="56"/>
      <c r="I307" s="56"/>
      <c r="J307" s="56"/>
      <c r="K307" s="56"/>
      <c r="Q307" s="22"/>
      <c r="R307" s="134"/>
    </row>
    <row r="308" spans="2:18" ht="14.4">
      <c r="B308" s="66"/>
      <c r="G308" s="56"/>
      <c r="H308" s="56"/>
      <c r="I308" s="56"/>
      <c r="J308" s="56"/>
      <c r="K308" s="56"/>
      <c r="Q308" s="22"/>
      <c r="R308" s="134"/>
    </row>
    <row r="309" spans="2:18" ht="14.4">
      <c r="B309" s="66"/>
      <c r="G309" s="56"/>
      <c r="H309" s="56"/>
      <c r="I309" s="56"/>
      <c r="J309" s="56"/>
      <c r="K309" s="56"/>
      <c r="Q309" s="22"/>
      <c r="R309" s="134"/>
    </row>
    <row r="310" spans="2:18" ht="14.4">
      <c r="B310" s="66"/>
      <c r="G310" s="56"/>
      <c r="H310" s="56"/>
      <c r="I310" s="56"/>
      <c r="J310" s="56"/>
      <c r="K310" s="56"/>
      <c r="Q310" s="22"/>
      <c r="R310" s="134"/>
    </row>
    <row r="311" spans="2:18" ht="14.4">
      <c r="B311" s="66"/>
      <c r="G311" s="56"/>
      <c r="H311" s="56"/>
      <c r="I311" s="56"/>
      <c r="J311" s="56"/>
      <c r="K311" s="56"/>
      <c r="Q311" s="22"/>
      <c r="R311" s="134"/>
    </row>
    <row r="312" spans="2:18" ht="14.4">
      <c r="B312" s="66"/>
      <c r="G312" s="56"/>
      <c r="H312" s="56"/>
      <c r="I312" s="56"/>
      <c r="J312" s="56"/>
      <c r="K312" s="56"/>
      <c r="Q312" s="22"/>
      <c r="R312" s="134"/>
    </row>
    <row r="313" spans="2:18" ht="14.4">
      <c r="B313" s="66"/>
      <c r="G313" s="56"/>
      <c r="H313" s="56"/>
      <c r="I313" s="56"/>
      <c r="J313" s="56"/>
      <c r="K313" s="56"/>
      <c r="Q313" s="22"/>
      <c r="R313" s="134"/>
    </row>
    <row r="314" spans="2:18" ht="14.4">
      <c r="B314" s="66"/>
      <c r="G314" s="56"/>
      <c r="H314" s="56"/>
      <c r="I314" s="56"/>
      <c r="J314" s="56"/>
      <c r="K314" s="56"/>
      <c r="Q314" s="22"/>
      <c r="R314" s="134"/>
    </row>
    <row r="315" spans="2:18" ht="14.4">
      <c r="B315" s="66"/>
      <c r="G315" s="56"/>
      <c r="H315" s="56"/>
      <c r="I315" s="56"/>
      <c r="J315" s="56"/>
      <c r="K315" s="56"/>
      <c r="Q315" s="22"/>
      <c r="R315" s="134"/>
    </row>
    <row r="316" spans="2:18" ht="14.4">
      <c r="B316" s="66"/>
      <c r="G316" s="56"/>
      <c r="H316" s="56"/>
      <c r="I316" s="56"/>
      <c r="J316" s="56"/>
      <c r="K316" s="56"/>
      <c r="Q316" s="22"/>
      <c r="R316" s="134"/>
    </row>
    <row r="317" spans="2:18" ht="14.4">
      <c r="B317" s="66"/>
      <c r="G317" s="56"/>
      <c r="H317" s="56"/>
      <c r="I317" s="56"/>
      <c r="J317" s="56"/>
      <c r="K317" s="56"/>
      <c r="Q317" s="22"/>
      <c r="R317" s="134"/>
    </row>
    <row r="318" spans="2:18" ht="14.4">
      <c r="B318" s="66"/>
      <c r="G318" s="56"/>
      <c r="H318" s="56"/>
      <c r="I318" s="56"/>
      <c r="J318" s="56"/>
      <c r="K318" s="56"/>
      <c r="Q318" s="22"/>
      <c r="R318" s="134"/>
    </row>
    <row r="319" spans="2:18" ht="14.4">
      <c r="B319" s="66"/>
      <c r="G319" s="56"/>
      <c r="H319" s="56"/>
      <c r="I319" s="56"/>
      <c r="J319" s="56"/>
      <c r="K319" s="56"/>
      <c r="Q319" s="22"/>
      <c r="R319" s="134"/>
    </row>
    <row r="320" spans="2:18" ht="14.4">
      <c r="B320" s="66"/>
      <c r="G320" s="56"/>
      <c r="H320" s="56"/>
      <c r="I320" s="56"/>
      <c r="J320" s="56"/>
      <c r="K320" s="56"/>
      <c r="Q320" s="22"/>
      <c r="R320" s="134"/>
    </row>
    <row r="321" spans="2:18" ht="14.4">
      <c r="B321" s="66"/>
      <c r="G321" s="56"/>
      <c r="H321" s="56"/>
      <c r="I321" s="56"/>
      <c r="J321" s="56"/>
      <c r="K321" s="56"/>
      <c r="Q321" s="22"/>
      <c r="R321" s="134"/>
    </row>
    <row r="322" spans="2:18" ht="14.4">
      <c r="B322" s="66"/>
      <c r="G322" s="56"/>
      <c r="H322" s="56"/>
      <c r="I322" s="56"/>
      <c r="J322" s="56"/>
      <c r="K322" s="56"/>
      <c r="Q322" s="22"/>
      <c r="R322" s="134"/>
    </row>
    <row r="323" spans="2:18" ht="14.4">
      <c r="B323" s="66"/>
      <c r="G323" s="56"/>
      <c r="H323" s="56"/>
      <c r="I323" s="56"/>
      <c r="J323" s="56"/>
      <c r="K323" s="56"/>
      <c r="Q323" s="22"/>
      <c r="R323" s="134"/>
    </row>
    <row r="324" spans="2:18" ht="14.4">
      <c r="B324" s="66"/>
      <c r="G324" s="56"/>
      <c r="H324" s="56"/>
      <c r="I324" s="56"/>
      <c r="J324" s="56"/>
      <c r="K324" s="56"/>
      <c r="Q324" s="22"/>
      <c r="R324" s="134"/>
    </row>
    <row r="325" spans="2:18" ht="14.4">
      <c r="B325" s="66"/>
      <c r="G325" s="56"/>
      <c r="H325" s="56"/>
      <c r="I325" s="56"/>
      <c r="J325" s="56"/>
      <c r="K325" s="56"/>
      <c r="Q325" s="22"/>
      <c r="R325" s="134"/>
    </row>
    <row r="326" spans="2:18" ht="14.4">
      <c r="B326" s="66"/>
      <c r="G326" s="56"/>
      <c r="H326" s="56"/>
      <c r="I326" s="56"/>
      <c r="J326" s="56"/>
      <c r="K326" s="56"/>
      <c r="Q326" s="22"/>
      <c r="R326" s="134"/>
    </row>
    <row r="327" spans="2:18" ht="14.4">
      <c r="B327" s="66"/>
      <c r="G327" s="56"/>
      <c r="H327" s="56"/>
      <c r="I327" s="56"/>
      <c r="J327" s="56"/>
      <c r="K327" s="56"/>
      <c r="Q327" s="22"/>
      <c r="R327" s="134"/>
    </row>
    <row r="328" spans="2:18" ht="14.4">
      <c r="B328" s="66"/>
      <c r="G328" s="56"/>
      <c r="H328" s="56"/>
      <c r="I328" s="56"/>
      <c r="J328" s="56"/>
      <c r="K328" s="56"/>
      <c r="Q328" s="22"/>
      <c r="R328" s="134"/>
    </row>
    <row r="329" spans="2:18" ht="14.4">
      <c r="B329" s="66"/>
      <c r="G329" s="56"/>
      <c r="H329" s="56"/>
      <c r="I329" s="56"/>
      <c r="J329" s="56"/>
      <c r="K329" s="56"/>
      <c r="Q329" s="22"/>
      <c r="R329" s="134"/>
    </row>
    <row r="330" spans="2:18" ht="14.4">
      <c r="B330" s="66"/>
      <c r="G330" s="56"/>
      <c r="H330" s="56"/>
      <c r="I330" s="56"/>
      <c r="J330" s="56"/>
      <c r="K330" s="56"/>
      <c r="Q330" s="22"/>
      <c r="R330" s="134"/>
    </row>
    <row r="331" spans="2:18" ht="14.4">
      <c r="B331" s="66"/>
      <c r="G331" s="56"/>
      <c r="H331" s="56"/>
      <c r="I331" s="56"/>
      <c r="J331" s="56"/>
      <c r="K331" s="56"/>
      <c r="Q331" s="22"/>
      <c r="R331" s="134"/>
    </row>
    <row r="332" spans="2:18" ht="14.4">
      <c r="B332" s="66"/>
      <c r="G332" s="56"/>
      <c r="H332" s="56"/>
      <c r="I332" s="56"/>
      <c r="J332" s="56"/>
      <c r="K332" s="56"/>
      <c r="Q332" s="22"/>
      <c r="R332" s="134"/>
    </row>
    <row r="333" spans="2:18" ht="14.4">
      <c r="B333" s="66"/>
      <c r="G333" s="56"/>
      <c r="H333" s="56"/>
      <c r="I333" s="56"/>
      <c r="J333" s="56"/>
      <c r="K333" s="56"/>
      <c r="Q333" s="22"/>
      <c r="R333" s="134"/>
    </row>
    <row r="334" spans="2:18" ht="14.4">
      <c r="B334" s="66"/>
      <c r="G334" s="56"/>
      <c r="H334" s="56"/>
      <c r="I334" s="56"/>
      <c r="J334" s="56"/>
      <c r="K334" s="56"/>
      <c r="Q334" s="22"/>
      <c r="R334" s="134"/>
    </row>
    <row r="335" spans="2:18" ht="14.4">
      <c r="B335" s="66"/>
      <c r="G335" s="56"/>
      <c r="H335" s="56"/>
      <c r="I335" s="56"/>
      <c r="J335" s="56"/>
      <c r="K335" s="56"/>
      <c r="Q335" s="22"/>
      <c r="R335" s="134"/>
    </row>
    <row r="336" spans="2:18" ht="14.4">
      <c r="B336" s="66"/>
      <c r="G336" s="56"/>
      <c r="H336" s="56"/>
      <c r="I336" s="56"/>
      <c r="J336" s="56"/>
      <c r="K336" s="56"/>
      <c r="Q336" s="22"/>
      <c r="R336" s="134"/>
    </row>
    <row r="337" spans="2:18" ht="14.4">
      <c r="B337" s="66"/>
      <c r="G337" s="56"/>
      <c r="H337" s="56"/>
      <c r="I337" s="56"/>
      <c r="J337" s="56"/>
      <c r="K337" s="56"/>
      <c r="Q337" s="22"/>
      <c r="R337" s="134"/>
    </row>
    <row r="338" spans="2:18" ht="14.4">
      <c r="B338" s="66"/>
      <c r="G338" s="56"/>
      <c r="H338" s="56"/>
      <c r="I338" s="56"/>
      <c r="J338" s="56"/>
      <c r="K338" s="56"/>
      <c r="Q338" s="22"/>
      <c r="R338" s="134"/>
    </row>
    <row r="339" spans="2:18" ht="14.4">
      <c r="B339" s="66"/>
      <c r="G339" s="56"/>
      <c r="H339" s="56"/>
      <c r="I339" s="56"/>
      <c r="J339" s="56"/>
      <c r="K339" s="56"/>
      <c r="Q339" s="22"/>
      <c r="R339" s="134"/>
    </row>
    <row r="340" spans="2:18" ht="14.4">
      <c r="B340" s="66"/>
      <c r="G340" s="56"/>
      <c r="H340" s="56"/>
      <c r="I340" s="56"/>
      <c r="J340" s="56"/>
      <c r="K340" s="56"/>
      <c r="Q340" s="22"/>
      <c r="R340" s="134"/>
    </row>
    <row r="341" spans="2:18" ht="14.4">
      <c r="B341" s="66"/>
      <c r="G341" s="56"/>
      <c r="H341" s="56"/>
      <c r="I341" s="56"/>
      <c r="J341" s="56"/>
      <c r="K341" s="56"/>
      <c r="Q341" s="22"/>
      <c r="R341" s="134"/>
    </row>
    <row r="342" spans="2:18" ht="14.4">
      <c r="B342" s="66"/>
      <c r="G342" s="56"/>
      <c r="H342" s="56"/>
      <c r="I342" s="56"/>
      <c r="J342" s="56"/>
      <c r="K342" s="56"/>
      <c r="Q342" s="22"/>
      <c r="R342" s="134"/>
    </row>
    <row r="343" spans="2:18" ht="14.4">
      <c r="B343" s="66"/>
      <c r="G343" s="56"/>
      <c r="H343" s="56"/>
      <c r="I343" s="56"/>
      <c r="J343" s="56"/>
      <c r="K343" s="56"/>
      <c r="Q343" s="22"/>
      <c r="R343" s="134"/>
    </row>
    <row r="344" spans="2:18" ht="14.4">
      <c r="B344" s="66"/>
      <c r="G344" s="56"/>
      <c r="H344" s="56"/>
      <c r="I344" s="56"/>
      <c r="J344" s="56"/>
      <c r="K344" s="56"/>
      <c r="Q344" s="22"/>
      <c r="R344" s="134"/>
    </row>
    <row r="345" spans="2:18" ht="14.4">
      <c r="B345" s="66"/>
      <c r="G345" s="56"/>
      <c r="H345" s="56"/>
      <c r="I345" s="56"/>
      <c r="J345" s="56"/>
      <c r="K345" s="56"/>
      <c r="Q345" s="22"/>
      <c r="R345" s="134"/>
    </row>
    <row r="346" spans="2:18" ht="14.4">
      <c r="B346" s="66"/>
      <c r="G346" s="56"/>
      <c r="H346" s="56"/>
      <c r="I346" s="56"/>
      <c r="J346" s="56"/>
      <c r="K346" s="56"/>
      <c r="Q346" s="22"/>
      <c r="R346" s="134"/>
    </row>
    <row r="347" spans="2:18" ht="14.4">
      <c r="B347" s="66"/>
      <c r="G347" s="56"/>
      <c r="H347" s="56"/>
      <c r="I347" s="56"/>
      <c r="J347" s="56"/>
      <c r="K347" s="56"/>
      <c r="Q347" s="22"/>
      <c r="R347" s="134"/>
    </row>
    <row r="348" spans="2:18" ht="14.4">
      <c r="B348" s="66"/>
      <c r="G348" s="56"/>
      <c r="H348" s="56"/>
      <c r="I348" s="56"/>
      <c r="J348" s="56"/>
      <c r="K348" s="56"/>
      <c r="Q348" s="22"/>
      <c r="R348" s="134"/>
    </row>
    <row r="349" spans="2:18" ht="14.4">
      <c r="B349" s="66"/>
      <c r="G349" s="56"/>
      <c r="H349" s="56"/>
      <c r="I349" s="56"/>
      <c r="J349" s="56"/>
      <c r="K349" s="56"/>
      <c r="Q349" s="22"/>
      <c r="R349" s="134"/>
    </row>
    <row r="350" spans="2:18" ht="14.4">
      <c r="B350" s="66"/>
      <c r="G350" s="56"/>
      <c r="H350" s="56"/>
      <c r="I350" s="56"/>
      <c r="J350" s="56"/>
      <c r="K350" s="56"/>
      <c r="Q350" s="22"/>
      <c r="R350" s="134"/>
    </row>
    <row r="351" spans="2:18" ht="14.4">
      <c r="B351" s="66"/>
      <c r="G351" s="56"/>
      <c r="H351" s="56"/>
      <c r="I351" s="56"/>
      <c r="J351" s="56"/>
      <c r="K351" s="56"/>
      <c r="Q351" s="22"/>
      <c r="R351" s="134"/>
    </row>
    <row r="352" spans="2:18" ht="14.4">
      <c r="B352" s="66"/>
      <c r="G352" s="56"/>
      <c r="H352" s="56"/>
      <c r="I352" s="56"/>
      <c r="J352" s="56"/>
      <c r="K352" s="56"/>
      <c r="Q352" s="22"/>
      <c r="R352" s="134"/>
    </row>
    <row r="353" spans="2:18" ht="14.4">
      <c r="B353" s="66"/>
      <c r="G353" s="56"/>
      <c r="H353" s="56"/>
      <c r="I353" s="56"/>
      <c r="J353" s="56"/>
      <c r="K353" s="56"/>
      <c r="Q353" s="22"/>
      <c r="R353" s="134"/>
    </row>
    <row r="354" spans="2:18" ht="14.4">
      <c r="B354" s="66"/>
      <c r="G354" s="56"/>
      <c r="H354" s="56"/>
      <c r="I354" s="56"/>
      <c r="J354" s="56"/>
      <c r="K354" s="56"/>
      <c r="Q354" s="22"/>
      <c r="R354" s="134"/>
    </row>
    <row r="355" spans="2:18" ht="14.4">
      <c r="B355" s="66"/>
      <c r="G355" s="56"/>
      <c r="H355" s="56"/>
      <c r="I355" s="56"/>
      <c r="J355" s="56"/>
      <c r="K355" s="56"/>
      <c r="Q355" s="22"/>
      <c r="R355" s="134"/>
    </row>
    <row r="356" spans="2:18" ht="14.4">
      <c r="B356" s="66"/>
      <c r="G356" s="56"/>
      <c r="H356" s="56"/>
      <c r="I356" s="56"/>
      <c r="J356" s="56"/>
      <c r="K356" s="56"/>
      <c r="Q356" s="22"/>
      <c r="R356" s="134"/>
    </row>
    <row r="357" spans="2:18" ht="14.4">
      <c r="B357" s="66"/>
      <c r="G357" s="56"/>
      <c r="H357" s="56"/>
      <c r="I357" s="56"/>
      <c r="J357" s="56"/>
      <c r="K357" s="56"/>
      <c r="Q357" s="22"/>
      <c r="R357" s="134"/>
    </row>
    <row r="358" spans="2:18" ht="14.4">
      <c r="B358" s="66"/>
      <c r="G358" s="56"/>
      <c r="H358" s="56"/>
      <c r="I358" s="56"/>
      <c r="J358" s="56"/>
      <c r="K358" s="56"/>
      <c r="Q358" s="22"/>
      <c r="R358" s="134"/>
    </row>
    <row r="359" spans="2:18" ht="14.4">
      <c r="B359" s="66"/>
      <c r="G359" s="56"/>
      <c r="H359" s="56"/>
      <c r="I359" s="56"/>
      <c r="J359" s="56"/>
      <c r="K359" s="56"/>
      <c r="Q359" s="22"/>
      <c r="R359" s="134"/>
    </row>
    <row r="360" spans="2:18" ht="14.4">
      <c r="B360" s="66"/>
      <c r="G360" s="56"/>
      <c r="H360" s="56"/>
      <c r="I360" s="56"/>
      <c r="J360" s="56"/>
      <c r="K360" s="56"/>
      <c r="Q360" s="22"/>
      <c r="R360" s="134"/>
    </row>
    <row r="361" spans="2:18" ht="14.4">
      <c r="B361" s="66"/>
      <c r="G361" s="56"/>
      <c r="H361" s="56"/>
      <c r="I361" s="56"/>
      <c r="J361" s="56"/>
      <c r="K361" s="56"/>
      <c r="Q361" s="22"/>
      <c r="R361" s="134"/>
    </row>
    <row r="362" spans="2:18" ht="14.4">
      <c r="B362" s="66"/>
      <c r="G362" s="56"/>
      <c r="H362" s="56"/>
      <c r="I362" s="56"/>
      <c r="J362" s="56"/>
      <c r="K362" s="56"/>
      <c r="Q362" s="22"/>
      <c r="R362" s="134"/>
    </row>
    <row r="363" spans="2:18" ht="14.4">
      <c r="B363" s="66"/>
      <c r="G363" s="56"/>
      <c r="H363" s="56"/>
      <c r="I363" s="56"/>
      <c r="J363" s="56"/>
      <c r="K363" s="56"/>
      <c r="Q363" s="22"/>
      <c r="R363" s="134"/>
    </row>
    <row r="364" spans="2:18" ht="14.4">
      <c r="B364" s="66"/>
      <c r="G364" s="56"/>
      <c r="H364" s="56"/>
      <c r="I364" s="56"/>
      <c r="J364" s="56"/>
      <c r="K364" s="56"/>
      <c r="Q364" s="22"/>
      <c r="R364" s="134"/>
    </row>
    <row r="365" spans="2:18" ht="14.4">
      <c r="B365" s="66"/>
      <c r="G365" s="56"/>
      <c r="H365" s="56"/>
      <c r="I365" s="56"/>
      <c r="J365" s="56"/>
      <c r="K365" s="56"/>
      <c r="Q365" s="22"/>
      <c r="R365" s="134"/>
    </row>
    <row r="366" spans="2:18" ht="14.4">
      <c r="B366" s="66"/>
      <c r="G366" s="56"/>
      <c r="H366" s="56"/>
      <c r="I366" s="56"/>
      <c r="J366" s="56"/>
      <c r="K366" s="56"/>
      <c r="Q366" s="22"/>
      <c r="R366" s="134"/>
    </row>
    <row r="367" spans="2:18" ht="14.4">
      <c r="B367" s="66"/>
      <c r="G367" s="56"/>
      <c r="H367" s="56"/>
      <c r="I367" s="56"/>
      <c r="J367" s="56"/>
      <c r="K367" s="56"/>
      <c r="Q367" s="22"/>
      <c r="R367" s="134"/>
    </row>
    <row r="368" spans="2:18" ht="14.4">
      <c r="B368" s="66"/>
      <c r="G368" s="56"/>
      <c r="H368" s="56"/>
      <c r="I368" s="56"/>
      <c r="J368" s="56"/>
      <c r="K368" s="56"/>
      <c r="Q368" s="22"/>
      <c r="R368" s="134"/>
    </row>
    <row r="369" spans="2:18" ht="14.4">
      <c r="B369" s="66"/>
      <c r="G369" s="56"/>
      <c r="H369" s="56"/>
      <c r="I369" s="56"/>
      <c r="J369" s="56"/>
      <c r="K369" s="56"/>
      <c r="Q369" s="22"/>
      <c r="R369" s="134"/>
    </row>
    <row r="370" spans="2:18" ht="14.4">
      <c r="B370" s="66"/>
      <c r="G370" s="56"/>
      <c r="H370" s="56"/>
      <c r="I370" s="56"/>
      <c r="J370" s="56"/>
      <c r="K370" s="56"/>
      <c r="Q370" s="22"/>
      <c r="R370" s="134"/>
    </row>
    <row r="371" spans="2:18" ht="14.4">
      <c r="B371" s="66"/>
      <c r="G371" s="56"/>
      <c r="H371" s="56"/>
      <c r="I371" s="56"/>
      <c r="J371" s="56"/>
      <c r="K371" s="56"/>
      <c r="Q371" s="22"/>
      <c r="R371" s="134"/>
    </row>
    <row r="372" spans="2:18" ht="14.4">
      <c r="B372" s="66"/>
      <c r="G372" s="56"/>
      <c r="H372" s="56"/>
      <c r="I372" s="56"/>
      <c r="J372" s="56"/>
      <c r="K372" s="56"/>
      <c r="Q372" s="22"/>
      <c r="R372" s="134"/>
    </row>
    <row r="373" spans="2:18" ht="14.4">
      <c r="B373" s="66"/>
      <c r="G373" s="56"/>
      <c r="H373" s="56"/>
      <c r="I373" s="56"/>
      <c r="J373" s="56"/>
      <c r="K373" s="56"/>
      <c r="Q373" s="22"/>
      <c r="R373" s="134"/>
    </row>
    <row r="374" spans="2:18" ht="14.4">
      <c r="B374" s="66"/>
      <c r="G374" s="56"/>
      <c r="H374" s="56"/>
      <c r="I374" s="56"/>
      <c r="J374" s="56"/>
      <c r="K374" s="56"/>
      <c r="Q374" s="22"/>
      <c r="R374" s="134"/>
    </row>
    <row r="375" spans="2:18" ht="14.4">
      <c r="B375" s="66"/>
      <c r="G375" s="56"/>
      <c r="H375" s="56"/>
      <c r="I375" s="56"/>
      <c r="J375" s="56"/>
      <c r="K375" s="56"/>
      <c r="Q375" s="22"/>
      <c r="R375" s="134"/>
    </row>
    <row r="376" spans="2:18" ht="14.4">
      <c r="B376" s="66"/>
      <c r="G376" s="56"/>
      <c r="H376" s="56"/>
      <c r="I376" s="56"/>
      <c r="J376" s="56"/>
      <c r="K376" s="56"/>
      <c r="Q376" s="22"/>
      <c r="R376" s="134"/>
    </row>
    <row r="377" spans="2:18" ht="14.4">
      <c r="B377" s="66"/>
      <c r="G377" s="56"/>
      <c r="H377" s="56"/>
      <c r="I377" s="56"/>
      <c r="J377" s="56"/>
      <c r="K377" s="56"/>
      <c r="Q377" s="22"/>
      <c r="R377" s="134"/>
    </row>
    <row r="378" spans="2:18" ht="14.4">
      <c r="B378" s="66"/>
      <c r="G378" s="56"/>
      <c r="H378" s="56"/>
      <c r="I378" s="56"/>
      <c r="J378" s="56"/>
      <c r="K378" s="56"/>
      <c r="Q378" s="22"/>
      <c r="R378" s="134"/>
    </row>
    <row r="379" spans="2:18" ht="14.4">
      <c r="B379" s="66"/>
      <c r="G379" s="56"/>
      <c r="H379" s="56"/>
      <c r="I379" s="56"/>
      <c r="J379" s="56"/>
      <c r="K379" s="56"/>
      <c r="Q379" s="22"/>
      <c r="R379" s="134"/>
    </row>
    <row r="380" spans="2:18" ht="14.4">
      <c r="B380" s="66"/>
      <c r="G380" s="56"/>
      <c r="H380" s="56"/>
      <c r="I380" s="56"/>
      <c r="J380" s="56"/>
      <c r="K380" s="56"/>
      <c r="Q380" s="22"/>
      <c r="R380" s="134"/>
    </row>
    <row r="381" spans="2:18" ht="14.4">
      <c r="B381" s="66"/>
      <c r="G381" s="56"/>
      <c r="H381" s="56"/>
      <c r="I381" s="56"/>
      <c r="J381" s="56"/>
      <c r="K381" s="56"/>
      <c r="Q381" s="22"/>
      <c r="R381" s="134"/>
    </row>
    <row r="382" spans="2:18" ht="14.4">
      <c r="B382" s="66"/>
      <c r="G382" s="56"/>
      <c r="H382" s="56"/>
      <c r="I382" s="56"/>
      <c r="J382" s="56"/>
      <c r="K382" s="56"/>
      <c r="Q382" s="22"/>
      <c r="R382" s="134"/>
    </row>
    <row r="383" spans="2:18" ht="14.4">
      <c r="B383" s="66"/>
      <c r="G383" s="56"/>
      <c r="H383" s="56"/>
      <c r="I383" s="56"/>
      <c r="J383" s="56"/>
      <c r="K383" s="56"/>
      <c r="Q383" s="22"/>
      <c r="R383" s="134"/>
    </row>
    <row r="384" spans="2:18" ht="14.4">
      <c r="B384" s="66"/>
      <c r="G384" s="56"/>
      <c r="H384" s="56"/>
      <c r="I384" s="56"/>
      <c r="J384" s="56"/>
      <c r="K384" s="56"/>
      <c r="Q384" s="22"/>
      <c r="R384" s="134"/>
    </row>
    <row r="385" spans="2:18" ht="14.4">
      <c r="B385" s="66"/>
      <c r="G385" s="56"/>
      <c r="H385" s="56"/>
      <c r="I385" s="56"/>
      <c r="J385" s="56"/>
      <c r="K385" s="56"/>
      <c r="Q385" s="22"/>
      <c r="R385" s="134"/>
    </row>
    <row r="386" spans="2:18" ht="14.4">
      <c r="B386" s="66"/>
      <c r="G386" s="56"/>
      <c r="H386" s="56"/>
      <c r="I386" s="56"/>
      <c r="J386" s="56"/>
      <c r="K386" s="56"/>
      <c r="Q386" s="22"/>
      <c r="R386" s="134"/>
    </row>
    <row r="387" spans="2:18" ht="14.4">
      <c r="B387" s="66"/>
      <c r="G387" s="56"/>
      <c r="H387" s="56"/>
      <c r="I387" s="56"/>
      <c r="J387" s="56"/>
      <c r="K387" s="56"/>
      <c r="Q387" s="22"/>
      <c r="R387" s="134"/>
    </row>
    <row r="388" spans="2:18" ht="14.4">
      <c r="B388" s="66"/>
      <c r="G388" s="56"/>
      <c r="H388" s="56"/>
      <c r="I388" s="56"/>
      <c r="J388" s="56"/>
      <c r="K388" s="56"/>
      <c r="Q388" s="22"/>
      <c r="R388" s="134"/>
    </row>
    <row r="389" spans="2:18" ht="14.4">
      <c r="B389" s="66"/>
      <c r="G389" s="56"/>
      <c r="H389" s="56"/>
      <c r="I389" s="56"/>
      <c r="J389" s="56"/>
      <c r="K389" s="56"/>
      <c r="Q389" s="22"/>
      <c r="R389" s="134"/>
    </row>
    <row r="390" spans="2:18" ht="14.4">
      <c r="B390" s="66"/>
      <c r="G390" s="56"/>
      <c r="H390" s="56"/>
      <c r="I390" s="56"/>
      <c r="J390" s="56"/>
      <c r="K390" s="56"/>
      <c r="Q390" s="22"/>
      <c r="R390" s="134"/>
    </row>
    <row r="391" spans="2:18" ht="14.4">
      <c r="B391" s="66"/>
      <c r="G391" s="56"/>
      <c r="H391" s="56"/>
      <c r="I391" s="56"/>
      <c r="J391" s="56"/>
      <c r="K391" s="56"/>
      <c r="Q391" s="22"/>
      <c r="R391" s="134"/>
    </row>
    <row r="392" spans="2:18" ht="14.4">
      <c r="B392" s="66"/>
      <c r="G392" s="56"/>
      <c r="H392" s="56"/>
      <c r="I392" s="56"/>
      <c r="J392" s="56"/>
      <c r="K392" s="56"/>
      <c r="Q392" s="22"/>
      <c r="R392" s="134"/>
    </row>
    <row r="393" spans="2:18" ht="14.4">
      <c r="B393" s="66"/>
      <c r="G393" s="56"/>
      <c r="H393" s="56"/>
      <c r="I393" s="56"/>
      <c r="J393" s="56"/>
      <c r="K393" s="56"/>
      <c r="Q393" s="22"/>
      <c r="R393" s="134"/>
    </row>
    <row r="394" spans="2:18" ht="14.4">
      <c r="B394" s="66"/>
      <c r="G394" s="56"/>
      <c r="H394" s="56"/>
      <c r="I394" s="56"/>
      <c r="J394" s="56"/>
      <c r="K394" s="56"/>
      <c r="Q394" s="22"/>
      <c r="R394" s="134"/>
    </row>
    <row r="395" spans="2:18" ht="14.4">
      <c r="B395" s="66"/>
      <c r="G395" s="56"/>
      <c r="H395" s="56"/>
      <c r="I395" s="56"/>
      <c r="J395" s="56"/>
      <c r="K395" s="56"/>
      <c r="Q395" s="22"/>
      <c r="R395" s="134"/>
    </row>
    <row r="396" spans="2:18" ht="14.4">
      <c r="B396" s="66"/>
      <c r="G396" s="56"/>
      <c r="H396" s="56"/>
      <c r="I396" s="56"/>
      <c r="J396" s="56"/>
      <c r="K396" s="56"/>
      <c r="Q396" s="22"/>
      <c r="R396" s="134"/>
    </row>
    <row r="397" spans="2:18" ht="14.4">
      <c r="B397" s="66"/>
      <c r="G397" s="56"/>
      <c r="H397" s="56"/>
      <c r="I397" s="56"/>
      <c r="J397" s="56"/>
      <c r="K397" s="56"/>
      <c r="Q397" s="22"/>
      <c r="R397" s="134"/>
    </row>
    <row r="398" spans="2:18" ht="14.4">
      <c r="B398" s="66"/>
      <c r="G398" s="56"/>
      <c r="H398" s="56"/>
      <c r="I398" s="56"/>
      <c r="J398" s="56"/>
      <c r="K398" s="56"/>
      <c r="Q398" s="22"/>
      <c r="R398" s="134"/>
    </row>
    <row r="399" spans="2:18" ht="14.4">
      <c r="B399" s="66"/>
      <c r="G399" s="56"/>
      <c r="H399" s="56"/>
      <c r="I399" s="56"/>
      <c r="J399" s="56"/>
      <c r="K399" s="56"/>
      <c r="Q399" s="22"/>
      <c r="R399" s="134"/>
    </row>
    <row r="400" spans="2:18" ht="14.4">
      <c r="B400" s="66"/>
      <c r="G400" s="56"/>
      <c r="H400" s="56"/>
      <c r="I400" s="56"/>
      <c r="J400" s="56"/>
      <c r="K400" s="56"/>
      <c r="Q400" s="22"/>
      <c r="R400" s="134"/>
    </row>
    <row r="401" spans="2:18" ht="14.4">
      <c r="B401" s="66"/>
      <c r="G401" s="56"/>
      <c r="H401" s="56"/>
      <c r="I401" s="56"/>
      <c r="J401" s="56"/>
      <c r="K401" s="56"/>
      <c r="Q401" s="22"/>
      <c r="R401" s="134"/>
    </row>
    <row r="402" spans="2:18" ht="14.4">
      <c r="B402" s="66"/>
      <c r="G402" s="56"/>
      <c r="H402" s="56"/>
      <c r="I402" s="56"/>
      <c r="J402" s="56"/>
      <c r="K402" s="56"/>
      <c r="Q402" s="22"/>
      <c r="R402" s="134"/>
    </row>
    <row r="403" spans="2:18" ht="14.4">
      <c r="B403" s="66"/>
      <c r="G403" s="56"/>
      <c r="H403" s="56"/>
      <c r="I403" s="56"/>
      <c r="J403" s="56"/>
      <c r="K403" s="56"/>
      <c r="Q403" s="22"/>
      <c r="R403" s="134"/>
    </row>
    <row r="404" spans="2:18" ht="14.4">
      <c r="B404" s="66"/>
      <c r="G404" s="56"/>
      <c r="H404" s="56"/>
      <c r="I404" s="56"/>
      <c r="J404" s="56"/>
      <c r="K404" s="56"/>
      <c r="Q404" s="22"/>
      <c r="R404" s="134"/>
    </row>
    <row r="405" spans="2:18" ht="14.4">
      <c r="B405" s="66"/>
      <c r="G405" s="56"/>
      <c r="H405" s="56"/>
      <c r="I405" s="56"/>
      <c r="J405" s="56"/>
      <c r="K405" s="56"/>
      <c r="Q405" s="22"/>
      <c r="R405" s="134"/>
    </row>
    <row r="406" spans="2:18" ht="14.4">
      <c r="B406" s="66"/>
      <c r="G406" s="56"/>
      <c r="H406" s="56"/>
      <c r="I406" s="56"/>
      <c r="J406" s="56"/>
      <c r="K406" s="56"/>
      <c r="Q406" s="22"/>
      <c r="R406" s="134"/>
    </row>
    <row r="407" spans="2:18" ht="14.4">
      <c r="B407" s="66"/>
      <c r="G407" s="56"/>
      <c r="H407" s="56"/>
      <c r="I407" s="56"/>
      <c r="J407" s="56"/>
      <c r="K407" s="56"/>
      <c r="Q407" s="22"/>
      <c r="R407" s="134"/>
    </row>
    <row r="408" spans="2:18" ht="14.4">
      <c r="B408" s="66"/>
      <c r="G408" s="56"/>
      <c r="H408" s="56"/>
      <c r="I408" s="56"/>
      <c r="J408" s="56"/>
      <c r="K408" s="56"/>
      <c r="Q408" s="22"/>
      <c r="R408" s="134"/>
    </row>
    <row r="409" spans="2:18" ht="14.4">
      <c r="B409" s="66"/>
      <c r="G409" s="56"/>
      <c r="H409" s="56"/>
      <c r="I409" s="56"/>
      <c r="J409" s="56"/>
      <c r="K409" s="56"/>
      <c r="Q409" s="22"/>
      <c r="R409" s="134"/>
    </row>
    <row r="410" spans="2:18" ht="14.4">
      <c r="B410" s="66"/>
      <c r="G410" s="56"/>
      <c r="H410" s="56"/>
      <c r="I410" s="56"/>
      <c r="J410" s="56"/>
      <c r="K410" s="56"/>
      <c r="Q410" s="22"/>
      <c r="R410" s="134"/>
    </row>
    <row r="411" spans="2:18" ht="14.4">
      <c r="B411" s="66"/>
      <c r="G411" s="56"/>
      <c r="H411" s="56"/>
      <c r="I411" s="56"/>
      <c r="J411" s="56"/>
      <c r="K411" s="56"/>
      <c r="Q411" s="22"/>
      <c r="R411" s="134"/>
    </row>
    <row r="412" spans="2:18" ht="14.4">
      <c r="B412" s="66"/>
      <c r="G412" s="56"/>
      <c r="H412" s="56"/>
      <c r="I412" s="56"/>
      <c r="J412" s="56"/>
      <c r="K412" s="56"/>
      <c r="Q412" s="22"/>
      <c r="R412" s="134"/>
    </row>
    <row r="413" spans="2:18" ht="14.4">
      <c r="B413" s="66"/>
      <c r="G413" s="56"/>
      <c r="H413" s="56"/>
      <c r="I413" s="56"/>
      <c r="J413" s="56"/>
      <c r="K413" s="56"/>
      <c r="Q413" s="22"/>
      <c r="R413" s="134"/>
    </row>
    <row r="414" spans="2:18" ht="14.4">
      <c r="B414" s="66"/>
      <c r="G414" s="56"/>
      <c r="H414" s="56"/>
      <c r="I414" s="56"/>
      <c r="J414" s="56"/>
      <c r="K414" s="56"/>
      <c r="Q414" s="22"/>
      <c r="R414" s="134"/>
    </row>
    <row r="415" spans="2:18" ht="14.4">
      <c r="B415" s="66"/>
      <c r="G415" s="56"/>
      <c r="H415" s="56"/>
      <c r="I415" s="56"/>
      <c r="J415" s="56"/>
      <c r="K415" s="56"/>
      <c r="Q415" s="22"/>
      <c r="R415" s="134"/>
    </row>
    <row r="416" spans="2:18" ht="14.4">
      <c r="B416" s="66"/>
      <c r="G416" s="56"/>
      <c r="H416" s="56"/>
      <c r="I416" s="56"/>
      <c r="J416" s="56"/>
      <c r="K416" s="56"/>
      <c r="Q416" s="22"/>
      <c r="R416" s="134"/>
    </row>
    <row r="417" spans="2:18" ht="14.4">
      <c r="B417" s="66"/>
      <c r="G417" s="56"/>
      <c r="H417" s="56"/>
      <c r="I417" s="56"/>
      <c r="J417" s="56"/>
      <c r="K417" s="56"/>
      <c r="Q417" s="22"/>
      <c r="R417" s="134"/>
    </row>
    <row r="418" spans="2:18" ht="14.4">
      <c r="B418" s="66"/>
      <c r="G418" s="56"/>
      <c r="H418" s="56"/>
      <c r="I418" s="56"/>
      <c r="J418" s="56"/>
      <c r="K418" s="56"/>
      <c r="Q418" s="22"/>
      <c r="R418" s="134"/>
    </row>
    <row r="419" spans="2:18" ht="14.4">
      <c r="B419" s="66"/>
      <c r="G419" s="56"/>
      <c r="H419" s="56"/>
      <c r="I419" s="56"/>
      <c r="J419" s="56"/>
      <c r="K419" s="56"/>
      <c r="Q419" s="22"/>
      <c r="R419" s="134"/>
    </row>
    <row r="420" spans="2:18" ht="14.4">
      <c r="B420" s="66"/>
      <c r="G420" s="56"/>
      <c r="H420" s="56"/>
      <c r="I420" s="56"/>
      <c r="J420" s="56"/>
      <c r="K420" s="56"/>
      <c r="Q420" s="22"/>
      <c r="R420" s="134"/>
    </row>
    <row r="421" spans="2:18" ht="14.4">
      <c r="B421" s="66"/>
      <c r="G421" s="56"/>
      <c r="H421" s="56"/>
      <c r="I421" s="56"/>
      <c r="J421" s="56"/>
      <c r="K421" s="56"/>
      <c r="Q421" s="22"/>
      <c r="R421" s="134"/>
    </row>
    <row r="422" spans="2:18" ht="14.4">
      <c r="B422" s="66"/>
      <c r="G422" s="56"/>
      <c r="H422" s="56"/>
      <c r="I422" s="56"/>
      <c r="J422" s="56"/>
      <c r="K422" s="56"/>
      <c r="Q422" s="22"/>
      <c r="R422" s="134"/>
    </row>
    <row r="423" spans="2:18" ht="14.4">
      <c r="B423" s="66"/>
      <c r="G423" s="56"/>
      <c r="H423" s="56"/>
      <c r="I423" s="56"/>
      <c r="J423" s="56"/>
      <c r="K423" s="56"/>
      <c r="Q423" s="22"/>
      <c r="R423" s="134"/>
    </row>
    <row r="424" spans="2:18" ht="14.4">
      <c r="B424" s="66"/>
      <c r="G424" s="56"/>
      <c r="H424" s="56"/>
      <c r="I424" s="56"/>
      <c r="J424" s="56"/>
      <c r="K424" s="56"/>
      <c r="Q424" s="22"/>
      <c r="R424" s="134"/>
    </row>
    <row r="425" spans="2:18" ht="14.4">
      <c r="B425" s="66"/>
      <c r="G425" s="56"/>
      <c r="H425" s="56"/>
      <c r="I425" s="56"/>
      <c r="J425" s="56"/>
      <c r="K425" s="56"/>
      <c r="Q425" s="22"/>
      <c r="R425" s="134"/>
    </row>
    <row r="426" spans="2:18" ht="14.4">
      <c r="B426" s="66"/>
      <c r="G426" s="56"/>
      <c r="H426" s="56"/>
      <c r="I426" s="56"/>
      <c r="J426" s="56"/>
      <c r="K426" s="56"/>
      <c r="Q426" s="22"/>
      <c r="R426" s="134"/>
    </row>
    <row r="427" spans="2:18" ht="14.4">
      <c r="B427" s="66"/>
      <c r="G427" s="56"/>
      <c r="H427" s="56"/>
      <c r="I427" s="56"/>
      <c r="J427" s="56"/>
      <c r="K427" s="56"/>
      <c r="Q427" s="22"/>
      <c r="R427" s="134"/>
    </row>
    <row r="428" spans="2:18" ht="14.4">
      <c r="B428" s="66"/>
      <c r="G428" s="56"/>
      <c r="H428" s="56"/>
      <c r="I428" s="56"/>
      <c r="J428" s="56"/>
      <c r="K428" s="56"/>
      <c r="Q428" s="22"/>
      <c r="R428" s="134"/>
    </row>
    <row r="429" spans="2:18" ht="14.4">
      <c r="B429" s="66"/>
      <c r="G429" s="56"/>
      <c r="H429" s="56"/>
      <c r="I429" s="56"/>
      <c r="J429" s="56"/>
      <c r="K429" s="56"/>
      <c r="Q429" s="22"/>
      <c r="R429" s="134"/>
    </row>
    <row r="430" spans="2:18" ht="14.4">
      <c r="B430" s="66"/>
      <c r="G430" s="56"/>
      <c r="H430" s="56"/>
      <c r="I430" s="56"/>
      <c r="J430" s="56"/>
      <c r="K430" s="56"/>
      <c r="Q430" s="22"/>
      <c r="R430" s="134"/>
    </row>
    <row r="431" spans="2:18" ht="14.4">
      <c r="B431" s="66"/>
      <c r="G431" s="56"/>
      <c r="H431" s="56"/>
      <c r="I431" s="56"/>
      <c r="J431" s="56"/>
      <c r="K431" s="56"/>
      <c r="Q431" s="22"/>
      <c r="R431" s="134"/>
    </row>
    <row r="432" spans="2:18" ht="14.4">
      <c r="B432" s="66"/>
      <c r="G432" s="56"/>
      <c r="H432" s="56"/>
      <c r="I432" s="56"/>
      <c r="J432" s="56"/>
      <c r="K432" s="56"/>
      <c r="Q432" s="22"/>
      <c r="R432" s="134"/>
    </row>
    <row r="433" spans="2:18" ht="14.4">
      <c r="B433" s="66"/>
      <c r="G433" s="56"/>
      <c r="H433" s="56"/>
      <c r="I433" s="56"/>
      <c r="J433" s="56"/>
      <c r="K433" s="56"/>
      <c r="Q433" s="22"/>
      <c r="R433" s="134"/>
    </row>
    <row r="434" spans="2:18" ht="14.4">
      <c r="B434" s="66"/>
      <c r="G434" s="56"/>
      <c r="H434" s="56"/>
      <c r="I434" s="56"/>
      <c r="J434" s="56"/>
      <c r="K434" s="56"/>
      <c r="Q434" s="22"/>
      <c r="R434" s="134"/>
    </row>
    <row r="435" spans="2:18" ht="14.4">
      <c r="B435" s="66"/>
      <c r="G435" s="56"/>
      <c r="H435" s="56"/>
      <c r="I435" s="56"/>
      <c r="J435" s="56"/>
      <c r="K435" s="56"/>
      <c r="Q435" s="22"/>
      <c r="R435" s="134"/>
    </row>
    <row r="436" spans="2:18" ht="14.4">
      <c r="B436" s="66"/>
      <c r="G436" s="56"/>
      <c r="H436" s="56"/>
      <c r="I436" s="56"/>
      <c r="J436" s="56"/>
      <c r="K436" s="56"/>
      <c r="Q436" s="22"/>
      <c r="R436" s="134"/>
    </row>
    <row r="437" spans="2:18" ht="14.4">
      <c r="B437" s="66"/>
      <c r="G437" s="56"/>
      <c r="H437" s="56"/>
      <c r="I437" s="56"/>
      <c r="J437" s="56"/>
      <c r="K437" s="56"/>
      <c r="Q437" s="22"/>
      <c r="R437" s="134"/>
    </row>
    <row r="438" spans="2:18" ht="14.4">
      <c r="B438" s="66"/>
      <c r="G438" s="56"/>
      <c r="H438" s="56"/>
      <c r="I438" s="56"/>
      <c r="J438" s="56"/>
      <c r="K438" s="56"/>
      <c r="Q438" s="22"/>
      <c r="R438" s="134"/>
    </row>
    <row r="439" spans="2:18" ht="14.4">
      <c r="B439" s="66"/>
      <c r="G439" s="56"/>
      <c r="H439" s="56"/>
      <c r="I439" s="56"/>
      <c r="J439" s="56"/>
      <c r="K439" s="56"/>
      <c r="Q439" s="22"/>
      <c r="R439" s="134"/>
    </row>
    <row r="440" spans="2:18" ht="14.4">
      <c r="B440" s="66"/>
      <c r="G440" s="56"/>
      <c r="H440" s="56"/>
      <c r="I440" s="56"/>
      <c r="J440" s="56"/>
      <c r="K440" s="56"/>
      <c r="Q440" s="22"/>
      <c r="R440" s="134"/>
    </row>
    <row r="441" spans="2:18" ht="14.4">
      <c r="B441" s="66"/>
      <c r="G441" s="56"/>
      <c r="H441" s="56"/>
      <c r="I441" s="56"/>
      <c r="J441" s="56"/>
      <c r="K441" s="56"/>
      <c r="Q441" s="22"/>
      <c r="R441" s="134"/>
    </row>
    <row r="442" spans="2:18" ht="14.4">
      <c r="B442" s="66"/>
      <c r="G442" s="56"/>
      <c r="H442" s="56"/>
      <c r="I442" s="56"/>
      <c r="J442" s="56"/>
      <c r="K442" s="56"/>
      <c r="Q442" s="22"/>
      <c r="R442" s="134"/>
    </row>
    <row r="443" spans="2:18" ht="14.4">
      <c r="B443" s="66"/>
      <c r="G443" s="56"/>
      <c r="H443" s="56"/>
      <c r="I443" s="56"/>
      <c r="J443" s="56"/>
      <c r="K443" s="56"/>
      <c r="Q443" s="22"/>
      <c r="R443" s="134"/>
    </row>
    <row r="444" spans="2:18" ht="14.4">
      <c r="B444" s="66"/>
      <c r="G444" s="56"/>
      <c r="H444" s="56"/>
      <c r="I444" s="56"/>
      <c r="J444" s="56"/>
      <c r="K444" s="56"/>
      <c r="Q444" s="22"/>
      <c r="R444" s="134"/>
    </row>
    <row r="445" spans="2:18" ht="14.4">
      <c r="B445" s="66"/>
      <c r="G445" s="56"/>
      <c r="H445" s="56"/>
      <c r="I445" s="56"/>
      <c r="J445" s="56"/>
      <c r="K445" s="56"/>
      <c r="Q445" s="22"/>
      <c r="R445" s="134"/>
    </row>
    <row r="446" spans="2:18" ht="14.4">
      <c r="B446" s="66"/>
      <c r="G446" s="56"/>
      <c r="H446" s="56"/>
      <c r="I446" s="56"/>
      <c r="J446" s="56"/>
      <c r="K446" s="56"/>
      <c r="Q446" s="22"/>
      <c r="R446" s="134"/>
    </row>
    <row r="447" spans="2:18" ht="14.4">
      <c r="B447" s="66"/>
      <c r="G447" s="56"/>
      <c r="H447" s="56"/>
      <c r="I447" s="56"/>
      <c r="J447" s="56"/>
      <c r="K447" s="56"/>
      <c r="Q447" s="22"/>
      <c r="R447" s="134"/>
    </row>
    <row r="448" spans="2:18" ht="14.4">
      <c r="B448" s="66"/>
      <c r="G448" s="56"/>
      <c r="H448" s="56"/>
      <c r="I448" s="56"/>
      <c r="J448" s="56"/>
      <c r="K448" s="56"/>
      <c r="Q448" s="22"/>
      <c r="R448" s="134"/>
    </row>
    <row r="449" spans="2:18" ht="14.4">
      <c r="B449" s="66"/>
      <c r="G449" s="56"/>
      <c r="H449" s="56"/>
      <c r="I449" s="56"/>
      <c r="J449" s="56"/>
      <c r="K449" s="56"/>
      <c r="Q449" s="22"/>
      <c r="R449" s="134"/>
    </row>
    <row r="450" spans="2:18" ht="14.4">
      <c r="B450" s="66"/>
      <c r="G450" s="56"/>
      <c r="H450" s="56"/>
      <c r="I450" s="56"/>
      <c r="J450" s="56"/>
      <c r="K450" s="56"/>
      <c r="Q450" s="22"/>
      <c r="R450" s="134"/>
    </row>
    <row r="451" spans="2:18" ht="14.4">
      <c r="B451" s="66"/>
      <c r="G451" s="56"/>
      <c r="H451" s="56"/>
      <c r="I451" s="56"/>
      <c r="J451" s="56"/>
      <c r="K451" s="56"/>
      <c r="Q451" s="22"/>
      <c r="R451" s="134"/>
    </row>
    <row r="452" spans="2:18" ht="14.4">
      <c r="B452" s="66"/>
      <c r="G452" s="56"/>
      <c r="H452" s="56"/>
      <c r="I452" s="56"/>
      <c r="J452" s="56"/>
      <c r="K452" s="56"/>
      <c r="Q452" s="22"/>
      <c r="R452" s="134"/>
    </row>
    <row r="453" spans="2:18" ht="14.4">
      <c r="B453" s="66"/>
      <c r="G453" s="56"/>
      <c r="H453" s="56"/>
      <c r="I453" s="56"/>
      <c r="J453" s="56"/>
      <c r="K453" s="56"/>
      <c r="Q453" s="22"/>
      <c r="R453" s="134"/>
    </row>
    <row r="454" spans="2:18" ht="14.4">
      <c r="B454" s="66"/>
      <c r="G454" s="56"/>
      <c r="H454" s="56"/>
      <c r="I454" s="56"/>
      <c r="J454" s="56"/>
      <c r="K454" s="56"/>
      <c r="Q454" s="22"/>
      <c r="R454" s="134"/>
    </row>
    <row r="455" spans="2:18" ht="14.4">
      <c r="B455" s="66"/>
      <c r="G455" s="56"/>
      <c r="H455" s="56"/>
      <c r="I455" s="56"/>
      <c r="J455" s="56"/>
      <c r="K455" s="56"/>
      <c r="Q455" s="22"/>
      <c r="R455" s="134"/>
    </row>
    <row r="456" spans="2:18" ht="14.4">
      <c r="B456" s="66"/>
      <c r="G456" s="56"/>
      <c r="H456" s="56"/>
      <c r="I456" s="56"/>
      <c r="J456" s="56"/>
      <c r="K456" s="56"/>
      <c r="Q456" s="22"/>
      <c r="R456" s="134"/>
    </row>
    <row r="457" spans="2:18" ht="14.4">
      <c r="B457" s="66"/>
      <c r="G457" s="56"/>
      <c r="H457" s="56"/>
      <c r="I457" s="56"/>
      <c r="J457" s="56"/>
      <c r="K457" s="56"/>
      <c r="Q457" s="22"/>
      <c r="R457" s="134"/>
    </row>
    <row r="458" spans="2:18" ht="14.4">
      <c r="B458" s="66"/>
      <c r="G458" s="56"/>
      <c r="H458" s="56"/>
      <c r="I458" s="56"/>
      <c r="J458" s="56"/>
      <c r="K458" s="56"/>
      <c r="Q458" s="22"/>
      <c r="R458" s="134"/>
    </row>
    <row r="459" spans="2:18" ht="14.4">
      <c r="B459" s="66"/>
      <c r="G459" s="56"/>
      <c r="H459" s="56"/>
      <c r="I459" s="56"/>
      <c r="J459" s="56"/>
      <c r="K459" s="56"/>
      <c r="Q459" s="22"/>
      <c r="R459" s="134"/>
    </row>
    <row r="460" spans="2:18" ht="14.4">
      <c r="B460" s="66"/>
      <c r="G460" s="56"/>
      <c r="H460" s="56"/>
      <c r="I460" s="56"/>
      <c r="J460" s="56"/>
      <c r="K460" s="56"/>
      <c r="Q460" s="22"/>
      <c r="R460" s="134"/>
    </row>
    <row r="461" spans="2:18" ht="14.4">
      <c r="B461" s="66"/>
      <c r="G461" s="56"/>
      <c r="H461" s="56"/>
      <c r="I461" s="56"/>
      <c r="J461" s="56"/>
      <c r="K461" s="56"/>
      <c r="Q461" s="22"/>
      <c r="R461" s="134"/>
    </row>
    <row r="462" spans="2:18" ht="14.4">
      <c r="B462" s="66"/>
      <c r="G462" s="56"/>
      <c r="H462" s="56"/>
      <c r="I462" s="56"/>
      <c r="J462" s="56"/>
      <c r="K462" s="56"/>
      <c r="Q462" s="22"/>
      <c r="R462" s="134"/>
    </row>
    <row r="463" spans="2:18" ht="14.4">
      <c r="B463" s="66"/>
      <c r="G463" s="56"/>
      <c r="H463" s="56"/>
      <c r="I463" s="56"/>
      <c r="J463" s="56"/>
      <c r="K463" s="56"/>
      <c r="Q463" s="22"/>
      <c r="R463" s="134"/>
    </row>
    <row r="464" spans="2:18" ht="14.4">
      <c r="B464" s="66"/>
      <c r="G464" s="56"/>
      <c r="H464" s="56"/>
      <c r="I464" s="56"/>
      <c r="J464" s="56"/>
      <c r="K464" s="56"/>
      <c r="Q464" s="22"/>
      <c r="R464" s="134"/>
    </row>
    <row r="465" spans="2:18" ht="14.4">
      <c r="B465" s="66"/>
      <c r="G465" s="56"/>
      <c r="H465" s="56"/>
      <c r="I465" s="56"/>
      <c r="J465" s="56"/>
      <c r="K465" s="56"/>
      <c r="Q465" s="22"/>
      <c r="R465" s="134"/>
    </row>
    <row r="466" spans="2:18" ht="14.4">
      <c r="B466" s="66"/>
      <c r="G466" s="56"/>
      <c r="H466" s="56"/>
      <c r="I466" s="56"/>
      <c r="J466" s="56"/>
      <c r="K466" s="56"/>
      <c r="Q466" s="22"/>
      <c r="R466" s="134"/>
    </row>
    <row r="467" spans="2:18" ht="14.4">
      <c r="B467" s="66"/>
      <c r="G467" s="56"/>
      <c r="H467" s="56"/>
      <c r="I467" s="56"/>
      <c r="J467" s="56"/>
      <c r="K467" s="56"/>
      <c r="Q467" s="22"/>
      <c r="R467" s="134"/>
    </row>
    <row r="468" spans="2:18" ht="14.4">
      <c r="B468" s="66"/>
      <c r="G468" s="56"/>
      <c r="H468" s="56"/>
      <c r="I468" s="56"/>
      <c r="J468" s="56"/>
      <c r="K468" s="56"/>
      <c r="Q468" s="22"/>
      <c r="R468" s="134"/>
    </row>
    <row r="469" spans="2:18" ht="14.4">
      <c r="B469" s="66"/>
      <c r="G469" s="56"/>
      <c r="H469" s="56"/>
      <c r="I469" s="56"/>
      <c r="J469" s="56"/>
      <c r="K469" s="56"/>
      <c r="Q469" s="22"/>
      <c r="R469" s="134"/>
    </row>
    <row r="470" spans="2:18" ht="14.4">
      <c r="B470" s="66"/>
      <c r="G470" s="56"/>
      <c r="H470" s="56"/>
      <c r="I470" s="56"/>
      <c r="J470" s="56"/>
      <c r="K470" s="56"/>
      <c r="Q470" s="22"/>
      <c r="R470" s="134"/>
    </row>
    <row r="471" spans="2:18" ht="14.4">
      <c r="B471" s="66"/>
      <c r="G471" s="56"/>
      <c r="H471" s="56"/>
      <c r="I471" s="56"/>
      <c r="J471" s="56"/>
      <c r="K471" s="56"/>
      <c r="Q471" s="22"/>
      <c r="R471" s="134"/>
    </row>
    <row r="472" spans="2:18" ht="14.4">
      <c r="B472" s="66"/>
      <c r="G472" s="56"/>
      <c r="H472" s="56"/>
      <c r="I472" s="56"/>
      <c r="J472" s="56"/>
      <c r="K472" s="56"/>
      <c r="Q472" s="22"/>
      <c r="R472" s="134"/>
    </row>
    <row r="473" spans="2:18" ht="14.4">
      <c r="B473" s="66"/>
      <c r="G473" s="56"/>
      <c r="H473" s="56"/>
      <c r="I473" s="56"/>
      <c r="J473" s="56"/>
      <c r="K473" s="56"/>
      <c r="Q473" s="22"/>
      <c r="R473" s="134"/>
    </row>
    <row r="474" spans="2:18" ht="14.4">
      <c r="B474" s="66"/>
      <c r="G474" s="56"/>
      <c r="H474" s="56"/>
      <c r="I474" s="56"/>
      <c r="J474" s="56"/>
      <c r="K474" s="56"/>
      <c r="Q474" s="22"/>
      <c r="R474" s="134"/>
    </row>
    <row r="475" spans="2:18" ht="14.4">
      <c r="B475" s="66"/>
      <c r="G475" s="56"/>
      <c r="H475" s="56"/>
      <c r="I475" s="56"/>
      <c r="J475" s="56"/>
      <c r="K475" s="56"/>
      <c r="Q475" s="22"/>
      <c r="R475" s="134"/>
    </row>
    <row r="476" spans="2:18" ht="14.4">
      <c r="B476" s="66"/>
      <c r="G476" s="56"/>
      <c r="H476" s="56"/>
      <c r="I476" s="56"/>
      <c r="J476" s="56"/>
      <c r="K476" s="56"/>
      <c r="Q476" s="22"/>
      <c r="R476" s="134"/>
    </row>
    <row r="477" spans="2:18" ht="14.4">
      <c r="B477" s="66"/>
      <c r="G477" s="56"/>
      <c r="H477" s="56"/>
      <c r="I477" s="56"/>
      <c r="J477" s="56"/>
      <c r="K477" s="56"/>
      <c r="Q477" s="22"/>
      <c r="R477" s="134"/>
    </row>
    <row r="478" spans="2:18" ht="14.4">
      <c r="B478" s="66"/>
      <c r="G478" s="56"/>
      <c r="H478" s="56"/>
      <c r="I478" s="56"/>
      <c r="J478" s="56"/>
      <c r="K478" s="56"/>
      <c r="Q478" s="22"/>
      <c r="R478" s="134"/>
    </row>
    <row r="479" spans="2:18" ht="14.4">
      <c r="B479" s="66"/>
      <c r="G479" s="56"/>
      <c r="H479" s="56"/>
      <c r="I479" s="56"/>
      <c r="J479" s="56"/>
      <c r="K479" s="56"/>
      <c r="Q479" s="22"/>
      <c r="R479" s="134"/>
    </row>
    <row r="480" spans="2:18" ht="14.4">
      <c r="B480" s="66"/>
      <c r="G480" s="56"/>
      <c r="H480" s="56"/>
      <c r="I480" s="56"/>
      <c r="J480" s="56"/>
      <c r="K480" s="56"/>
      <c r="Q480" s="22"/>
      <c r="R480" s="134"/>
    </row>
    <row r="481" spans="2:18" ht="14.4">
      <c r="B481" s="66"/>
      <c r="G481" s="56"/>
      <c r="H481" s="56"/>
      <c r="I481" s="56"/>
      <c r="J481" s="56"/>
      <c r="K481" s="56"/>
      <c r="Q481" s="22"/>
      <c r="R481" s="134"/>
    </row>
    <row r="482" spans="2:18" ht="14.4">
      <c r="B482" s="66"/>
      <c r="G482" s="56"/>
      <c r="H482" s="56"/>
      <c r="I482" s="56"/>
      <c r="J482" s="56"/>
      <c r="K482" s="56"/>
      <c r="Q482" s="22"/>
      <c r="R482" s="134"/>
    </row>
    <row r="483" spans="2:18" ht="14.4">
      <c r="B483" s="66"/>
      <c r="G483" s="56"/>
      <c r="H483" s="56"/>
      <c r="I483" s="56"/>
      <c r="J483" s="56"/>
      <c r="K483" s="56"/>
      <c r="Q483" s="22"/>
      <c r="R483" s="134"/>
    </row>
    <row r="484" spans="2:18" ht="14.4">
      <c r="B484" s="66"/>
      <c r="G484" s="56"/>
      <c r="H484" s="56"/>
      <c r="I484" s="56"/>
      <c r="J484" s="56"/>
      <c r="K484" s="56"/>
      <c r="Q484" s="22"/>
      <c r="R484" s="134"/>
    </row>
    <row r="485" spans="2:18" ht="14.4">
      <c r="B485" s="66"/>
      <c r="G485" s="56"/>
      <c r="H485" s="56"/>
      <c r="I485" s="56"/>
      <c r="J485" s="56"/>
      <c r="K485" s="56"/>
      <c r="Q485" s="22"/>
      <c r="R485" s="134"/>
    </row>
    <row r="486" spans="2:18" ht="14.4">
      <c r="B486" s="66"/>
      <c r="G486" s="56"/>
      <c r="H486" s="56"/>
      <c r="I486" s="56"/>
      <c r="J486" s="56"/>
      <c r="K486" s="56"/>
      <c r="Q486" s="22"/>
      <c r="R486" s="134"/>
    </row>
    <row r="487" spans="2:18" ht="14.4">
      <c r="B487" s="66"/>
      <c r="G487" s="56"/>
      <c r="H487" s="56"/>
      <c r="I487" s="56"/>
      <c r="J487" s="56"/>
      <c r="K487" s="56"/>
      <c r="Q487" s="22"/>
      <c r="R487" s="134"/>
    </row>
    <row r="488" spans="2:18" ht="14.4">
      <c r="B488" s="66"/>
      <c r="G488" s="56"/>
      <c r="H488" s="56"/>
      <c r="I488" s="56"/>
      <c r="J488" s="56"/>
      <c r="K488" s="56"/>
      <c r="Q488" s="22"/>
      <c r="R488" s="134"/>
    </row>
    <row r="489" spans="2:18" ht="14.4">
      <c r="B489" s="66"/>
      <c r="G489" s="56"/>
      <c r="H489" s="56"/>
      <c r="I489" s="56"/>
      <c r="J489" s="56"/>
      <c r="K489" s="56"/>
      <c r="Q489" s="22"/>
      <c r="R489" s="134"/>
    </row>
    <row r="490" spans="2:18" ht="14.4">
      <c r="B490" s="66"/>
      <c r="G490" s="56"/>
      <c r="H490" s="56"/>
      <c r="I490" s="56"/>
      <c r="J490" s="56"/>
      <c r="K490" s="56"/>
      <c r="Q490" s="22"/>
      <c r="R490" s="134"/>
    </row>
    <row r="491" spans="2:18" ht="14.4">
      <c r="B491" s="66"/>
      <c r="G491" s="56"/>
      <c r="H491" s="56"/>
      <c r="I491" s="56"/>
      <c r="J491" s="56"/>
      <c r="K491" s="56"/>
      <c r="Q491" s="22"/>
      <c r="R491" s="134"/>
    </row>
    <row r="492" spans="2:18" ht="14.4">
      <c r="B492" s="66"/>
      <c r="G492" s="56"/>
      <c r="H492" s="56"/>
      <c r="I492" s="56"/>
      <c r="J492" s="56"/>
      <c r="K492" s="56"/>
      <c r="Q492" s="22"/>
      <c r="R492" s="134"/>
    </row>
    <row r="493" spans="2:18" ht="14.4">
      <c r="B493" s="66"/>
      <c r="G493" s="56"/>
      <c r="H493" s="56"/>
      <c r="I493" s="56"/>
      <c r="J493" s="56"/>
      <c r="K493" s="56"/>
      <c r="Q493" s="22"/>
      <c r="R493" s="134"/>
    </row>
    <row r="494" spans="2:18" ht="14.4">
      <c r="B494" s="66"/>
      <c r="G494" s="56"/>
      <c r="H494" s="56"/>
      <c r="I494" s="56"/>
      <c r="J494" s="56"/>
      <c r="K494" s="56"/>
      <c r="Q494" s="22"/>
      <c r="R494" s="134"/>
    </row>
    <row r="495" spans="2:18" ht="14.4">
      <c r="B495" s="66"/>
      <c r="G495" s="56"/>
      <c r="H495" s="56"/>
      <c r="I495" s="56"/>
      <c r="J495" s="56"/>
      <c r="K495" s="56"/>
      <c r="Q495" s="22"/>
      <c r="R495" s="134"/>
    </row>
    <row r="496" spans="2:18" ht="14.4">
      <c r="B496" s="66"/>
      <c r="G496" s="56"/>
      <c r="H496" s="56"/>
      <c r="I496" s="56"/>
      <c r="J496" s="56"/>
      <c r="K496" s="56"/>
      <c r="Q496" s="22"/>
      <c r="R496" s="134"/>
    </row>
    <row r="497" spans="2:18" ht="14.4">
      <c r="B497" s="66"/>
      <c r="G497" s="56"/>
      <c r="H497" s="56"/>
      <c r="I497" s="56"/>
      <c r="J497" s="56"/>
      <c r="K497" s="56"/>
      <c r="Q497" s="22"/>
      <c r="R497" s="134"/>
    </row>
    <row r="498" spans="2:18" ht="14.4">
      <c r="B498" s="66"/>
      <c r="G498" s="56"/>
      <c r="H498" s="56"/>
      <c r="I498" s="56"/>
      <c r="J498" s="56"/>
      <c r="K498" s="56"/>
      <c r="Q498" s="22"/>
      <c r="R498" s="134"/>
    </row>
    <row r="499" spans="2:18" ht="14.4">
      <c r="B499" s="66"/>
      <c r="G499" s="56"/>
      <c r="H499" s="56"/>
      <c r="I499" s="56"/>
      <c r="J499" s="56"/>
      <c r="K499" s="56"/>
      <c r="Q499" s="22"/>
      <c r="R499" s="134"/>
    </row>
    <row r="500" spans="2:18" ht="14.4">
      <c r="B500" s="66"/>
      <c r="G500" s="56"/>
      <c r="H500" s="56"/>
      <c r="I500" s="56"/>
      <c r="J500" s="56"/>
      <c r="K500" s="56"/>
      <c r="Q500" s="22"/>
      <c r="R500" s="134"/>
    </row>
    <row r="501" spans="2:18" ht="14.4">
      <c r="B501" s="66"/>
      <c r="G501" s="56"/>
      <c r="H501" s="56"/>
      <c r="I501" s="56"/>
      <c r="J501" s="56"/>
      <c r="K501" s="56"/>
      <c r="Q501" s="22"/>
      <c r="R501" s="134"/>
    </row>
    <row r="502" spans="2:18" ht="14.4">
      <c r="B502" s="66"/>
      <c r="G502" s="56"/>
      <c r="H502" s="56"/>
      <c r="I502" s="56"/>
      <c r="J502" s="56"/>
      <c r="K502" s="56"/>
      <c r="Q502" s="22"/>
      <c r="R502" s="134"/>
    </row>
    <row r="503" spans="2:18" ht="14.4">
      <c r="B503" s="66"/>
      <c r="G503" s="56"/>
      <c r="H503" s="56"/>
      <c r="I503" s="56"/>
      <c r="J503" s="56"/>
      <c r="K503" s="56"/>
      <c r="Q503" s="22"/>
      <c r="R503" s="134"/>
    </row>
  </sheetData>
  <mergeCells count="31">
    <mergeCell ref="C12:D12"/>
    <mergeCell ref="C7:D7"/>
    <mergeCell ref="C8:D8"/>
    <mergeCell ref="C9:D9"/>
    <mergeCell ref="C10:D10"/>
    <mergeCell ref="C11:D11"/>
    <mergeCell ref="C1:D1"/>
    <mergeCell ref="C6:D6"/>
    <mergeCell ref="C3:D3"/>
    <mergeCell ref="C2:D2"/>
    <mergeCell ref="C5:D5"/>
    <mergeCell ref="C4:D4"/>
    <mergeCell ref="I6:M6"/>
    <mergeCell ref="I7:M7"/>
    <mergeCell ref="I8:M8"/>
    <mergeCell ref="I9:M9"/>
    <mergeCell ref="I1:M1"/>
    <mergeCell ref="I2:M2"/>
    <mergeCell ref="I3:M3"/>
    <mergeCell ref="I4:M4"/>
    <mergeCell ref="I5:M5"/>
    <mergeCell ref="F21:F22"/>
    <mergeCell ref="H21:J21"/>
    <mergeCell ref="K21:O21"/>
    <mergeCell ref="P21:P22"/>
    <mergeCell ref="R21:R22"/>
    <mergeCell ref="A21:A22"/>
    <mergeCell ref="B21:B22"/>
    <mergeCell ref="C21:C22"/>
    <mergeCell ref="D21:D22"/>
    <mergeCell ref="E21:E22"/>
  </mergeCells>
  <conditionalFormatting sqref="B1:B1048576">
    <cfRule type="containsText" dxfId="7" priority="1" operator="containsText" text="191">
      <formula>NOT(ISERROR(SEARCH("191",B1)))</formula>
    </cfRule>
    <cfRule type="containsText" dxfId="6" priority="2" operator="containsText" text="185">
      <formula>NOT(ISERROR(SEARCH("185",B1)))</formula>
    </cfRule>
  </conditionalFormatting>
  <conditionalFormatting sqref="G21:G22">
    <cfRule type="duplicateValues" dxfId="5" priority="32"/>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88"/>
  <sheetViews>
    <sheetView topLeftCell="A185" zoomScale="76" workbookViewId="0">
      <selection activeCell="A189" sqref="A189:XFD429"/>
    </sheetView>
  </sheetViews>
  <sheetFormatPr defaultColWidth="11" defaultRowHeight="13.8"/>
  <cols>
    <col min="1" max="1" width="11" style="122"/>
    <col min="2" max="2" width="22.19921875" style="122" customWidth="1"/>
    <col min="3" max="3" width="17.19921875" style="122" customWidth="1"/>
    <col min="4" max="4" width="21.59765625" style="122" customWidth="1"/>
    <col min="5" max="5" width="33.59765625" style="122" customWidth="1"/>
    <col min="6" max="6" width="28.69921875" style="122" customWidth="1"/>
    <col min="7" max="7" width="17.59765625" style="122" customWidth="1"/>
    <col min="8" max="8" width="17.69921875" style="122" customWidth="1"/>
    <col min="9" max="9" width="66.09765625" style="122" customWidth="1"/>
    <col min="10" max="10" width="17.69921875" style="122" customWidth="1"/>
    <col min="11" max="11" width="14.296875" style="122" customWidth="1"/>
    <col min="12" max="12" width="22.3984375" style="122" customWidth="1"/>
    <col min="13" max="13" width="19.19921875" style="122" customWidth="1"/>
    <col min="14" max="14" width="17.5" style="122" customWidth="1"/>
    <col min="15" max="15" width="17.59765625" style="122" customWidth="1"/>
    <col min="16" max="16" width="24.796875" style="122" customWidth="1"/>
    <col min="17" max="17" width="24.19921875" style="122" customWidth="1"/>
    <col min="18" max="18" width="16.3984375" style="122" customWidth="1"/>
    <col min="19" max="19" width="25.09765625" style="122" customWidth="1"/>
    <col min="20" max="20" width="19.796875" style="122" customWidth="1"/>
    <col min="21" max="16384" width="11" style="122"/>
  </cols>
  <sheetData>
    <row r="1" spans="1:37" ht="27.6">
      <c r="A1" s="132"/>
      <c r="B1" s="132"/>
      <c r="C1" s="141" t="s">
        <v>98</v>
      </c>
      <c r="D1" s="126" t="s">
        <v>73</v>
      </c>
      <c r="E1" s="126"/>
      <c r="F1" s="298" t="s">
        <v>69</v>
      </c>
      <c r="G1" s="299"/>
      <c r="H1" s="125" t="s">
        <v>55</v>
      </c>
      <c r="I1" s="136" t="s">
        <v>94</v>
      </c>
      <c r="J1" s="136" t="s">
        <v>96</v>
      </c>
      <c r="K1" s="136" t="s">
        <v>97</v>
      </c>
      <c r="L1" s="298" t="s">
        <v>112</v>
      </c>
      <c r="M1" s="138"/>
      <c r="N1" s="138"/>
      <c r="O1" s="138"/>
    </row>
    <row r="2" spans="1:37" ht="15" customHeight="1">
      <c r="A2" s="132"/>
      <c r="B2" s="132"/>
      <c r="C2" s="279">
        <v>0.6</v>
      </c>
      <c r="D2" s="125">
        <v>2</v>
      </c>
      <c r="E2" s="374">
        <v>244</v>
      </c>
      <c r="F2" s="467" t="s">
        <v>131</v>
      </c>
      <c r="G2" s="468"/>
      <c r="H2" s="306">
        <v>244</v>
      </c>
      <c r="I2" s="330">
        <v>26</v>
      </c>
      <c r="J2" s="330">
        <v>15</v>
      </c>
      <c r="K2" s="331">
        <f>I2*60%</f>
        <v>15.6</v>
      </c>
      <c r="L2" s="406">
        <f>K2-J2</f>
        <v>0.59999999999999964</v>
      </c>
      <c r="M2" s="138"/>
      <c r="N2" s="138"/>
      <c r="O2" s="138"/>
    </row>
    <row r="3" spans="1:37" ht="19.05" customHeight="1">
      <c r="A3" s="132"/>
      <c r="B3" s="132"/>
      <c r="D3" s="125">
        <v>3</v>
      </c>
      <c r="E3" s="374">
        <v>249</v>
      </c>
      <c r="F3" s="467" t="s">
        <v>138</v>
      </c>
      <c r="G3" s="468"/>
      <c r="H3" s="306">
        <v>249</v>
      </c>
      <c r="I3" s="330">
        <v>31</v>
      </c>
      <c r="J3" s="330">
        <v>22</v>
      </c>
      <c r="K3" s="331">
        <f>I3*50%</f>
        <v>15.5</v>
      </c>
      <c r="L3" s="406">
        <f t="shared" ref="L3:L9" si="0">K3-J3</f>
        <v>-6.5</v>
      </c>
      <c r="M3" s="138"/>
      <c r="N3" s="138"/>
      <c r="O3" s="138"/>
      <c r="P3" s="288"/>
      <c r="Q3" s="288"/>
      <c r="R3" s="288"/>
      <c r="S3" s="288"/>
      <c r="T3" s="288"/>
    </row>
    <row r="4" spans="1:37" s="288" customFormat="1" ht="16.95" customHeight="1">
      <c r="A4" s="127"/>
      <c r="B4" s="127"/>
      <c r="C4" s="127"/>
      <c r="D4" s="126">
        <v>4</v>
      </c>
      <c r="E4" s="374">
        <v>250</v>
      </c>
      <c r="F4" s="467" t="s">
        <v>169</v>
      </c>
      <c r="G4" s="468"/>
      <c r="H4" s="306">
        <v>250</v>
      </c>
      <c r="I4" s="202">
        <v>37</v>
      </c>
      <c r="J4" s="202">
        <v>20</v>
      </c>
      <c r="K4" s="329">
        <f>I4*50%</f>
        <v>18.5</v>
      </c>
      <c r="L4" s="406">
        <f t="shared" si="0"/>
        <v>-1.5</v>
      </c>
      <c r="M4" s="138"/>
      <c r="N4" s="138"/>
      <c r="O4" s="138"/>
      <c r="P4" s="138"/>
      <c r="Q4" s="138"/>
      <c r="R4" s="138"/>
      <c r="S4" s="138"/>
      <c r="T4" s="138"/>
      <c r="AH4" s="366"/>
    </row>
    <row r="5" spans="1:37" s="288" customFormat="1" ht="16.95" customHeight="1">
      <c r="A5" s="127"/>
      <c r="B5" s="127"/>
      <c r="C5" s="127"/>
      <c r="D5" s="125">
        <v>5</v>
      </c>
      <c r="E5" s="374">
        <v>251</v>
      </c>
      <c r="F5" s="467" t="s">
        <v>170</v>
      </c>
      <c r="G5" s="468"/>
      <c r="H5" s="306">
        <v>251</v>
      </c>
      <c r="I5" s="202">
        <v>35</v>
      </c>
      <c r="J5" s="202">
        <v>22</v>
      </c>
      <c r="K5" s="329">
        <f>I5*50%</f>
        <v>17.5</v>
      </c>
      <c r="L5" s="406">
        <f t="shared" si="0"/>
        <v>-4.5</v>
      </c>
      <c r="M5" s="138"/>
      <c r="N5" s="138"/>
      <c r="O5" s="138"/>
      <c r="P5" s="138"/>
      <c r="Q5" s="138"/>
      <c r="R5" s="138"/>
      <c r="S5" s="138"/>
      <c r="T5" s="138"/>
    </row>
    <row r="6" spans="1:37" s="288" customFormat="1" ht="16.95" customHeight="1">
      <c r="A6" s="127"/>
      <c r="B6" s="127"/>
      <c r="C6" s="127"/>
      <c r="D6" s="125">
        <v>6</v>
      </c>
      <c r="E6" s="374">
        <v>254</v>
      </c>
      <c r="F6" s="467" t="s">
        <v>328</v>
      </c>
      <c r="G6" s="468"/>
      <c r="H6" s="304">
        <v>254</v>
      </c>
      <c r="I6" s="202">
        <v>28</v>
      </c>
      <c r="J6" s="202">
        <v>18</v>
      </c>
      <c r="K6" s="329">
        <f>I6*60%</f>
        <v>16.8</v>
      </c>
      <c r="L6" s="406">
        <f t="shared" si="0"/>
        <v>-1.1999999999999993</v>
      </c>
      <c r="M6" s="138"/>
      <c r="N6" s="138"/>
      <c r="O6" s="138"/>
      <c r="P6" s="138"/>
      <c r="Q6" s="138"/>
      <c r="R6" s="138"/>
      <c r="S6" s="138"/>
      <c r="T6" s="138"/>
    </row>
    <row r="7" spans="1:37" s="288" customFormat="1" ht="16.95" customHeight="1">
      <c r="A7" s="127"/>
      <c r="B7" s="127"/>
      <c r="C7" s="127"/>
      <c r="D7" s="126">
        <v>7</v>
      </c>
      <c r="E7" s="374">
        <v>255</v>
      </c>
      <c r="F7" s="467" t="s">
        <v>298</v>
      </c>
      <c r="G7" s="468"/>
      <c r="H7" s="304">
        <v>255</v>
      </c>
      <c r="I7" s="202">
        <v>550</v>
      </c>
      <c r="J7" s="202">
        <v>42</v>
      </c>
      <c r="K7" s="329">
        <v>42</v>
      </c>
      <c r="L7" s="406">
        <f t="shared" si="0"/>
        <v>0</v>
      </c>
      <c r="M7" s="365"/>
      <c r="N7" s="365"/>
      <c r="O7" s="365"/>
      <c r="P7" s="138"/>
      <c r="Q7" s="138"/>
      <c r="R7" s="138"/>
      <c r="S7" s="138"/>
      <c r="T7" s="138"/>
      <c r="AI7" s="288">
        <f>COUNTIF(G28:G188,"=19")</f>
        <v>8</v>
      </c>
      <c r="AK7" s="288">
        <f>COUNTIF(G28:G188,"=26")</f>
        <v>9</v>
      </c>
    </row>
    <row r="8" spans="1:37" s="288" customFormat="1" ht="16.95" customHeight="1">
      <c r="A8" s="127"/>
      <c r="B8" s="127"/>
      <c r="C8" s="127"/>
      <c r="D8" s="125">
        <v>8</v>
      </c>
      <c r="E8" s="374">
        <v>264</v>
      </c>
      <c r="F8" s="467" t="s">
        <v>359</v>
      </c>
      <c r="G8" s="468"/>
      <c r="H8" s="304">
        <v>264</v>
      </c>
      <c r="I8" s="202">
        <v>33</v>
      </c>
      <c r="J8" s="202">
        <v>4</v>
      </c>
      <c r="K8" s="329">
        <f>I8*60%</f>
        <v>19.8</v>
      </c>
      <c r="L8" s="406">
        <f t="shared" si="0"/>
        <v>15.8</v>
      </c>
      <c r="M8" s="365"/>
      <c r="N8" s="365"/>
      <c r="O8" s="365"/>
      <c r="P8" s="138"/>
      <c r="Q8" s="138"/>
      <c r="R8" s="138"/>
      <c r="S8" s="138"/>
      <c r="T8" s="138"/>
      <c r="AI8" s="288">
        <f>COUNTIF(G28:G188,"=20")</f>
        <v>6</v>
      </c>
      <c r="AK8" s="288">
        <f>COUNTIF(G28:G188,"=27")</f>
        <v>2</v>
      </c>
    </row>
    <row r="9" spans="1:37" s="288" customFormat="1" ht="16.95" customHeight="1">
      <c r="A9" s="127"/>
      <c r="B9" s="127"/>
      <c r="C9" s="127"/>
      <c r="D9" s="125">
        <v>9</v>
      </c>
      <c r="E9" s="374">
        <v>265</v>
      </c>
      <c r="F9" s="467" t="s">
        <v>360</v>
      </c>
      <c r="G9" s="468"/>
      <c r="H9" s="304">
        <v>265</v>
      </c>
      <c r="I9" s="202">
        <v>41</v>
      </c>
      <c r="J9" s="202">
        <v>18</v>
      </c>
      <c r="K9" s="329">
        <f>I9*60%</f>
        <v>24.599999999999998</v>
      </c>
      <c r="L9" s="406">
        <f t="shared" si="0"/>
        <v>6.5999999999999979</v>
      </c>
      <c r="M9" s="365"/>
      <c r="N9" s="365"/>
      <c r="O9" s="365"/>
      <c r="P9" s="138"/>
      <c r="Q9" s="138"/>
      <c r="R9" s="138"/>
      <c r="S9" s="138"/>
      <c r="T9" s="138"/>
      <c r="AI9" s="288">
        <f>COUNTIF(G28:G188,"=21")</f>
        <v>3</v>
      </c>
      <c r="AK9" s="288">
        <f>COUNTIF(G28:G188,"=28")</f>
        <v>7</v>
      </c>
    </row>
    <row r="10" spans="1:37" ht="14.4">
      <c r="A10" s="61"/>
      <c r="B10" s="61"/>
      <c r="C10" s="65"/>
      <c r="D10" s="125"/>
      <c r="E10" s="374"/>
      <c r="F10" s="477" t="s">
        <v>114</v>
      </c>
      <c r="G10" s="478"/>
      <c r="H10" s="300"/>
      <c r="I10" s="300">
        <f>SUM(I2:I9)</f>
        <v>781</v>
      </c>
      <c r="J10" s="301">
        <f>SUM(J2:J9)</f>
        <v>161</v>
      </c>
      <c r="K10" s="385">
        <f>SUM(K2:K9)</f>
        <v>170.29999999999998</v>
      </c>
      <c r="L10" s="407">
        <f>SUM(L2:L9)</f>
        <v>9.2999999999999989</v>
      </c>
      <c r="M10" s="365"/>
      <c r="N10" s="365"/>
      <c r="O10" s="365"/>
      <c r="P10" s="61"/>
      <c r="Q10" s="61"/>
      <c r="R10" s="65"/>
      <c r="S10" s="61"/>
      <c r="T10" s="65"/>
      <c r="U10" s="61"/>
      <c r="V10" s="61"/>
      <c r="W10" s="61"/>
      <c r="X10" s="61"/>
      <c r="Y10" s="61"/>
      <c r="Z10" s="61"/>
      <c r="AA10" s="61"/>
      <c r="AB10" s="61"/>
      <c r="AC10" s="61"/>
      <c r="AI10" s="122">
        <f>COUNTIF(G26:G188,"=24")</f>
        <v>9</v>
      </c>
      <c r="AK10" s="122">
        <f>COUNTIF(G26:G188,"=31")</f>
        <v>2</v>
      </c>
    </row>
    <row r="11" spans="1:37" ht="14.4">
      <c r="A11" s="61"/>
      <c r="B11" s="61"/>
      <c r="C11" s="65"/>
      <c r="D11" s="132"/>
      <c r="E11" s="132"/>
      <c r="F11" s="289"/>
      <c r="G11" s="289"/>
      <c r="H11" s="289"/>
      <c r="I11" s="289"/>
      <c r="J11" s="289"/>
      <c r="K11" s="290"/>
      <c r="L11" s="291"/>
      <c r="M11" s="291"/>
      <c r="N11" s="291"/>
      <c r="O11" s="291"/>
      <c r="P11" s="61"/>
      <c r="Q11" s="61"/>
      <c r="R11" s="65"/>
      <c r="S11" s="61"/>
      <c r="T11" s="65"/>
      <c r="U11" s="61"/>
      <c r="V11" s="61"/>
      <c r="W11" s="61"/>
      <c r="X11" s="61"/>
      <c r="Y11" s="61"/>
      <c r="Z11" s="61"/>
      <c r="AA11" s="61"/>
      <c r="AB11" s="61"/>
      <c r="AC11" s="61"/>
      <c r="AI11" s="122">
        <f>COUNTIF(G26:G188,"=25")</f>
        <v>4</v>
      </c>
      <c r="AK11" s="122">
        <f>COUNTIF(G26:G188,"=32")</f>
        <v>1</v>
      </c>
    </row>
    <row r="12" spans="1:37" ht="14.4">
      <c r="A12" s="61"/>
      <c r="B12" s="61"/>
      <c r="C12" s="365"/>
      <c r="D12" s="132"/>
      <c r="E12" s="132"/>
      <c r="F12" s="480" t="s">
        <v>0</v>
      </c>
      <c r="G12" s="480"/>
      <c r="H12" s="289"/>
      <c r="I12" s="289"/>
      <c r="J12" s="289"/>
      <c r="K12" s="290"/>
      <c r="L12" s="291"/>
      <c r="M12" s="291"/>
      <c r="N12" s="291"/>
      <c r="O12" s="291"/>
      <c r="P12" s="61"/>
      <c r="Q12" s="61"/>
      <c r="R12" s="65"/>
      <c r="S12" s="61"/>
      <c r="T12" s="65"/>
      <c r="U12" s="61"/>
      <c r="V12" s="61"/>
      <c r="W12" s="61"/>
      <c r="X12" s="61"/>
      <c r="Y12" s="61"/>
      <c r="Z12" s="61"/>
      <c r="AA12" s="61"/>
      <c r="AB12" s="61"/>
      <c r="AC12" s="61"/>
      <c r="AI12" s="122">
        <f>SUM(AI7:AI11)</f>
        <v>30</v>
      </c>
      <c r="AK12" s="122">
        <f>COUNTIF(G26:G188,"=33")</f>
        <v>4</v>
      </c>
    </row>
    <row r="13" spans="1:37" ht="14.4">
      <c r="A13" s="61"/>
      <c r="B13" s="61"/>
      <c r="C13" s="365"/>
      <c r="D13" s="132"/>
      <c r="E13" s="132"/>
      <c r="F13" s="326" t="s">
        <v>2</v>
      </c>
      <c r="G13" s="281">
        <f>COUNTIF(F28:F261, "Female")</f>
        <v>159</v>
      </c>
      <c r="H13" s="289"/>
      <c r="I13" s="289"/>
      <c r="J13" s="289"/>
      <c r="K13" s="290"/>
      <c r="L13" s="291"/>
      <c r="M13" s="291"/>
      <c r="N13" s="291"/>
      <c r="O13" s="291"/>
      <c r="P13" s="61"/>
      <c r="Q13" s="61"/>
      <c r="R13" s="65"/>
      <c r="S13" s="61"/>
      <c r="T13" s="65"/>
      <c r="U13" s="61"/>
      <c r="V13" s="61"/>
      <c r="W13" s="61"/>
      <c r="X13" s="61"/>
      <c r="Y13" s="61"/>
      <c r="Z13" s="61"/>
      <c r="AA13" s="61"/>
      <c r="AB13" s="61"/>
      <c r="AC13" s="61"/>
      <c r="AK13" s="122">
        <f>COUNTIF(G26:G188,"=34")</f>
        <v>3</v>
      </c>
    </row>
    <row r="14" spans="1:37" ht="14.4">
      <c r="A14" s="61"/>
      <c r="B14" s="61"/>
      <c r="C14" s="365"/>
      <c r="D14" s="132"/>
      <c r="E14" s="132"/>
      <c r="F14" s="326" t="s">
        <v>4</v>
      </c>
      <c r="G14" s="281">
        <f>COUNTIF(F28:F261, "Male")</f>
        <v>2</v>
      </c>
      <c r="H14" s="289"/>
      <c r="I14" s="289"/>
      <c r="J14" s="289"/>
      <c r="K14" s="368"/>
      <c r="L14" s="291"/>
      <c r="M14" s="291"/>
      <c r="N14" s="291"/>
      <c r="O14" s="291"/>
      <c r="P14" s="61"/>
      <c r="Q14" s="61"/>
      <c r="R14" s="65"/>
      <c r="S14" s="61"/>
      <c r="T14" s="65"/>
      <c r="U14" s="61"/>
      <c r="V14" s="61"/>
      <c r="W14" s="61"/>
      <c r="X14" s="61"/>
      <c r="Y14" s="61"/>
      <c r="Z14" s="61"/>
      <c r="AA14" s="61"/>
      <c r="AB14" s="61"/>
      <c r="AC14" s="61"/>
      <c r="AK14" s="122">
        <f>COUNTIF(G26:G188,"=35")</f>
        <v>3</v>
      </c>
    </row>
    <row r="15" spans="1:37" ht="14.4">
      <c r="A15" s="61"/>
      <c r="B15" s="61"/>
      <c r="C15" s="365"/>
      <c r="D15" s="132"/>
      <c r="E15" s="132"/>
      <c r="F15" s="325" t="s">
        <v>85</v>
      </c>
      <c r="G15" s="367">
        <f>SUM(G13:G14)</f>
        <v>161</v>
      </c>
      <c r="H15" s="402" t="b">
        <f>J10=G13+G14</f>
        <v>1</v>
      </c>
      <c r="I15" s="289"/>
      <c r="J15" s="289"/>
      <c r="K15" s="290"/>
      <c r="L15" s="291"/>
      <c r="M15" s="291"/>
      <c r="N15" s="291"/>
      <c r="O15" s="291"/>
      <c r="P15" s="61"/>
      <c r="Q15" s="61"/>
      <c r="R15" s="65"/>
      <c r="S15" s="61"/>
      <c r="T15" s="65"/>
      <c r="U15" s="61"/>
      <c r="V15" s="61"/>
      <c r="W15" s="61"/>
      <c r="X15" s="61"/>
      <c r="Y15" s="61"/>
      <c r="Z15" s="61"/>
      <c r="AA15" s="61"/>
      <c r="AB15" s="61"/>
      <c r="AC15" s="61"/>
      <c r="AK15" s="122">
        <f>SUM(AK7:AK14)</f>
        <v>31</v>
      </c>
    </row>
    <row r="16" spans="1:37" ht="14.4">
      <c r="A16" s="61"/>
      <c r="B16" s="61"/>
      <c r="C16" s="365"/>
      <c r="D16" s="132"/>
      <c r="E16" s="132"/>
      <c r="F16" s="325" t="s">
        <v>84</v>
      </c>
      <c r="G16" s="289"/>
      <c r="H16" s="289"/>
      <c r="I16" s="289"/>
      <c r="J16" s="289"/>
      <c r="K16" s="290"/>
      <c r="L16" s="291"/>
      <c r="M16" s="291"/>
      <c r="N16" s="291"/>
      <c r="O16" s="291"/>
      <c r="P16" s="61"/>
      <c r="Q16" s="61"/>
      <c r="R16" s="65"/>
      <c r="S16" s="61"/>
      <c r="T16" s="65"/>
      <c r="U16" s="61"/>
      <c r="V16" s="61"/>
      <c r="W16" s="61"/>
      <c r="X16" s="61"/>
      <c r="Y16" s="61"/>
      <c r="Z16" s="61"/>
      <c r="AA16" s="61"/>
      <c r="AB16" s="61"/>
      <c r="AC16" s="61"/>
    </row>
    <row r="17" spans="1:29" ht="14.4">
      <c r="A17" s="61"/>
      <c r="B17" s="61"/>
      <c r="C17" s="65"/>
      <c r="D17" s="132"/>
      <c r="E17" s="132"/>
      <c r="F17" s="326" t="s">
        <v>119</v>
      </c>
      <c r="G17" s="275">
        <f>COUNTIF(G28:G188, "&lt;=18")</f>
        <v>36</v>
      </c>
      <c r="H17" s="289"/>
      <c r="I17" s="289"/>
      <c r="J17" s="289"/>
      <c r="K17" s="290"/>
      <c r="L17" s="291"/>
      <c r="M17" s="291"/>
      <c r="N17" s="291"/>
      <c r="O17" s="291"/>
      <c r="P17" s="61"/>
      <c r="Q17" s="61"/>
      <c r="R17" s="65"/>
      <c r="S17" s="61"/>
      <c r="T17" s="65"/>
      <c r="U17" s="61"/>
      <c r="V17" s="61"/>
      <c r="W17" s="61"/>
      <c r="X17" s="61"/>
      <c r="Y17" s="61"/>
      <c r="Z17" s="61"/>
      <c r="AA17" s="61"/>
      <c r="AB17" s="61"/>
      <c r="AC17" s="61"/>
    </row>
    <row r="18" spans="1:29" ht="14.4">
      <c r="A18" s="61"/>
      <c r="B18" s="61"/>
      <c r="C18" s="65"/>
      <c r="D18" s="132"/>
      <c r="E18" s="132"/>
      <c r="F18" s="326" t="s">
        <v>121</v>
      </c>
      <c r="G18" s="275">
        <f>AI12</f>
        <v>30</v>
      </c>
      <c r="H18" s="289"/>
      <c r="I18" s="289"/>
      <c r="J18" s="289"/>
      <c r="K18" s="290"/>
      <c r="L18" s="291"/>
      <c r="M18" s="291"/>
      <c r="N18" s="291"/>
      <c r="O18" s="291"/>
      <c r="P18" s="61"/>
      <c r="Q18" s="61"/>
      <c r="R18" s="65"/>
      <c r="S18" s="61"/>
      <c r="T18" s="65"/>
      <c r="U18" s="61"/>
      <c r="V18" s="61"/>
      <c r="W18" s="61"/>
      <c r="X18" s="61"/>
      <c r="Y18" s="61"/>
      <c r="Z18" s="61"/>
      <c r="AA18" s="61"/>
      <c r="AB18" s="61"/>
      <c r="AC18" s="61"/>
    </row>
    <row r="19" spans="1:29" ht="14.4">
      <c r="A19" s="61"/>
      <c r="B19" s="61"/>
      <c r="C19" s="65"/>
      <c r="D19" s="132"/>
      <c r="E19" s="132"/>
      <c r="F19" s="326" t="s">
        <v>122</v>
      </c>
      <c r="G19" s="275">
        <f>AK15</f>
        <v>31</v>
      </c>
      <c r="H19" s="289"/>
      <c r="I19" s="289"/>
      <c r="J19" s="289"/>
      <c r="K19" s="290"/>
      <c r="L19" s="291"/>
      <c r="M19" s="291"/>
      <c r="N19" s="291"/>
      <c r="O19" s="291"/>
      <c r="P19" s="61"/>
      <c r="Q19" s="61"/>
      <c r="R19" s="65"/>
      <c r="S19" s="61"/>
      <c r="T19" s="65"/>
      <c r="U19" s="61"/>
      <c r="V19" s="61"/>
      <c r="W19" s="61"/>
      <c r="X19" s="61"/>
      <c r="Y19" s="61"/>
      <c r="Z19" s="61"/>
      <c r="AA19" s="61"/>
      <c r="AB19" s="61"/>
      <c r="AC19" s="61"/>
    </row>
    <row r="20" spans="1:29" ht="14.4">
      <c r="A20" s="61"/>
      <c r="B20" s="61"/>
      <c r="C20" s="65"/>
      <c r="D20" s="132"/>
      <c r="E20" s="132"/>
      <c r="F20" s="326" t="s">
        <v>120</v>
      </c>
      <c r="G20" s="275">
        <f>COUNTIF(G28:G188, "&gt;35")</f>
        <v>40</v>
      </c>
      <c r="H20" s="289"/>
      <c r="I20" s="289"/>
      <c r="J20" s="289"/>
      <c r="K20" s="290"/>
      <c r="L20" s="291"/>
      <c r="M20" s="291"/>
      <c r="N20" s="291"/>
      <c r="O20" s="291"/>
      <c r="P20" s="61"/>
      <c r="Q20" s="61"/>
      <c r="R20" s="65"/>
      <c r="S20" s="61"/>
      <c r="T20" s="65"/>
      <c r="U20" s="61"/>
      <c r="V20" s="61"/>
      <c r="W20" s="61"/>
      <c r="X20" s="61"/>
      <c r="Y20" s="61"/>
      <c r="Z20" s="61"/>
      <c r="AA20" s="61"/>
      <c r="AB20" s="61"/>
      <c r="AC20" s="61"/>
    </row>
    <row r="21" spans="1:29" ht="14.4">
      <c r="A21" s="61"/>
      <c r="B21" s="61"/>
      <c r="C21" s="65"/>
      <c r="D21" s="132"/>
      <c r="E21" s="132"/>
      <c r="F21" s="325" t="s">
        <v>85</v>
      </c>
      <c r="G21" s="289">
        <f>SUM(G17:G20)</f>
        <v>137</v>
      </c>
      <c r="H21" s="300" t="b">
        <f>G21=J10</f>
        <v>0</v>
      </c>
      <c r="I21" s="289"/>
      <c r="J21" s="289"/>
      <c r="K21" s="290"/>
      <c r="L21" s="291"/>
      <c r="M21" s="291"/>
      <c r="N21" s="291"/>
      <c r="O21" s="291"/>
      <c r="P21" s="61"/>
      <c r="Q21" s="61"/>
      <c r="R21" s="65"/>
      <c r="S21" s="61"/>
      <c r="T21" s="65"/>
      <c r="U21" s="61"/>
      <c r="V21" s="61"/>
      <c r="W21" s="61"/>
      <c r="X21" s="61"/>
      <c r="Y21" s="61"/>
      <c r="Z21" s="61"/>
      <c r="AA21" s="61"/>
      <c r="AB21" s="61"/>
      <c r="AC21" s="61"/>
    </row>
    <row r="22" spans="1:29" ht="14.4">
      <c r="A22" s="61"/>
      <c r="B22" s="61"/>
      <c r="C22" s="65"/>
      <c r="D22" s="132"/>
      <c r="E22" s="132"/>
      <c r="F22" s="325"/>
      <c r="G22" s="289"/>
      <c r="H22" s="289"/>
      <c r="I22" s="289"/>
      <c r="J22" s="289"/>
      <c r="K22" s="290"/>
      <c r="L22" s="291"/>
      <c r="M22" s="291"/>
      <c r="N22" s="291"/>
      <c r="O22" s="291"/>
      <c r="P22" s="61"/>
      <c r="Q22" s="61"/>
      <c r="R22" s="65"/>
      <c r="S22" s="61"/>
      <c r="T22" s="65"/>
      <c r="U22" s="61"/>
      <c r="V22" s="61"/>
      <c r="W22" s="61"/>
      <c r="X22" s="61"/>
      <c r="Y22" s="61"/>
      <c r="Z22" s="61"/>
      <c r="AA22" s="61"/>
      <c r="AB22" s="61"/>
      <c r="AC22" s="61"/>
    </row>
    <row r="23" spans="1:29" ht="14.4">
      <c r="A23" s="19"/>
      <c r="B23" s="80"/>
      <c r="C23" s="379"/>
      <c r="D23" s="60"/>
      <c r="E23" s="380"/>
      <c r="F23" s="108" t="s">
        <v>101</v>
      </c>
      <c r="G23" s="109"/>
      <c r="H23" s="128"/>
      <c r="I23" s="283"/>
      <c r="J23" s="282"/>
      <c r="K23" s="282"/>
      <c r="L23" s="282"/>
      <c r="M23" s="282"/>
      <c r="N23" s="18"/>
      <c r="O23" s="18"/>
      <c r="P23" s="18"/>
      <c r="Q23" s="18"/>
      <c r="R23" s="57"/>
      <c r="S23" s="18"/>
      <c r="T23" s="57"/>
      <c r="U23" s="58"/>
      <c r="V23" s="58"/>
      <c r="W23" s="58"/>
      <c r="X23" s="58"/>
      <c r="Y23" s="58"/>
      <c r="Z23" s="58"/>
      <c r="AA23" s="58"/>
      <c r="AB23" s="58"/>
      <c r="AC23" s="58"/>
    </row>
    <row r="24" spans="1:29" ht="27.6" customHeight="1">
      <c r="A24" s="19"/>
      <c r="B24" s="80"/>
      <c r="C24" s="379"/>
      <c r="D24" s="60"/>
      <c r="E24" s="380"/>
      <c r="F24" s="20" t="s">
        <v>21</v>
      </c>
      <c r="G24" s="109"/>
      <c r="H24" s="121">
        <f>SUM(J2:J9)</f>
        <v>161</v>
      </c>
      <c r="J24" s="283"/>
      <c r="K24" s="282"/>
      <c r="L24" s="294"/>
      <c r="M24" s="282"/>
      <c r="N24" s="18"/>
      <c r="O24" s="18"/>
      <c r="P24" s="18"/>
      <c r="Q24" s="18"/>
      <c r="R24" s="57"/>
      <c r="S24" s="18"/>
      <c r="T24" s="57"/>
      <c r="U24" s="58"/>
      <c r="V24" s="58"/>
      <c r="W24" s="58"/>
      <c r="X24" s="58"/>
      <c r="Y24" s="58"/>
      <c r="Z24" s="58"/>
      <c r="AA24" s="58"/>
      <c r="AB24" s="58"/>
      <c r="AC24" s="58"/>
    </row>
    <row r="25" spans="1:29" ht="15" thickBot="1">
      <c r="A25" s="19"/>
      <c r="B25" s="80"/>
      <c r="C25" s="379"/>
      <c r="D25" s="58"/>
      <c r="E25" s="61"/>
      <c r="F25" s="18"/>
      <c r="G25" s="80"/>
      <c r="H25" s="20"/>
      <c r="I25" s="284"/>
      <c r="J25" s="284" t="s">
        <v>129</v>
      </c>
      <c r="K25" s="284"/>
      <c r="L25" s="284"/>
      <c r="M25" s="284"/>
      <c r="N25" s="18"/>
      <c r="O25" s="18"/>
      <c r="P25" s="18"/>
      <c r="Q25" s="18"/>
      <c r="R25" s="57"/>
      <c r="S25" s="18"/>
      <c r="T25" s="57"/>
      <c r="U25" s="58"/>
      <c r="V25" s="58"/>
      <c r="W25" s="58"/>
      <c r="X25" s="58"/>
      <c r="Y25" s="58"/>
      <c r="Z25" s="58"/>
      <c r="AA25" s="58"/>
      <c r="AB25" s="58"/>
      <c r="AC25" s="58"/>
    </row>
    <row r="26" spans="1:29" ht="241.05" customHeight="1" thickBot="1">
      <c r="A26" s="469"/>
      <c r="B26" s="404" t="s">
        <v>465</v>
      </c>
      <c r="C26" s="471" t="s">
        <v>113</v>
      </c>
      <c r="D26" s="475" t="s">
        <v>24</v>
      </c>
      <c r="E26" s="475" t="s">
        <v>137</v>
      </c>
      <c r="F26" s="473" t="s">
        <v>0</v>
      </c>
      <c r="G26" s="473" t="s">
        <v>84</v>
      </c>
      <c r="H26" s="475" t="s">
        <v>25</v>
      </c>
      <c r="I26" s="489" t="s">
        <v>26</v>
      </c>
      <c r="J26" s="481" t="s">
        <v>66</v>
      </c>
      <c r="K26" s="482"/>
      <c r="L26" s="483"/>
      <c r="M26" s="484" t="s">
        <v>27</v>
      </c>
      <c r="N26" s="485"/>
      <c r="O26" s="485"/>
      <c r="P26" s="485"/>
      <c r="Q26" s="486"/>
      <c r="R26" s="487" t="s">
        <v>30</v>
      </c>
      <c r="S26" s="110" t="s">
        <v>28</v>
      </c>
      <c r="T26" s="487" t="s">
        <v>29</v>
      </c>
      <c r="U26" s="61"/>
      <c r="V26" s="59"/>
      <c r="W26" s="59"/>
      <c r="X26" s="59"/>
      <c r="Y26" s="59"/>
      <c r="Z26" s="59"/>
      <c r="AA26" s="59"/>
      <c r="AB26" s="59"/>
      <c r="AC26" s="59"/>
    </row>
    <row r="27" spans="1:29" ht="42" thickBot="1">
      <c r="A27" s="470"/>
      <c r="B27" s="405"/>
      <c r="C27" s="472"/>
      <c r="D27" s="476"/>
      <c r="E27" s="479"/>
      <c r="F27" s="474"/>
      <c r="G27" s="474"/>
      <c r="H27" s="476"/>
      <c r="I27" s="490"/>
      <c r="J27" s="285" t="s">
        <v>67</v>
      </c>
      <c r="K27" s="285" t="s">
        <v>71</v>
      </c>
      <c r="L27" s="285" t="s">
        <v>68</v>
      </c>
      <c r="M27" s="286" t="s">
        <v>83</v>
      </c>
      <c r="N27" s="286" t="s">
        <v>90</v>
      </c>
      <c r="O27" s="286" t="s">
        <v>91</v>
      </c>
      <c r="P27" s="287" t="s">
        <v>92</v>
      </c>
      <c r="Q27" s="411" t="s">
        <v>93</v>
      </c>
      <c r="R27" s="488"/>
      <c r="S27" s="243"/>
      <c r="T27" s="488"/>
      <c r="U27" s="61"/>
      <c r="V27" s="61"/>
      <c r="W27" s="61"/>
      <c r="X27" s="61"/>
      <c r="Y27" s="61"/>
      <c r="Z27" s="61"/>
      <c r="AA27" s="61"/>
      <c r="AB27" s="61"/>
      <c r="AC27" s="61"/>
    </row>
    <row r="28" spans="1:29" ht="133.19999999999999" customHeight="1">
      <c r="A28" s="410">
        <v>1</v>
      </c>
      <c r="B28" s="409"/>
      <c r="C28" s="196" t="str">
        <f t="shared" ref="C28:C41" si="1">LEFT(D28,3)</f>
        <v>244</v>
      </c>
      <c r="D28" s="376">
        <v>2441</v>
      </c>
      <c r="E28" s="381" t="s">
        <v>327</v>
      </c>
      <c r="F28" s="375" t="s">
        <v>2</v>
      </c>
      <c r="G28" s="378">
        <v>34</v>
      </c>
      <c r="H28" s="378" t="s">
        <v>3</v>
      </c>
      <c r="I28" s="372" t="s">
        <v>397</v>
      </c>
      <c r="J28" s="199">
        <f t="shared" ref="J28:J59" si="2">IF(OR(ISNUMBER(SEARCH("confidence",I28))=TRUE,ISNUMBER(SEARCH("hope for the future",I28))=TRUE,ISNUMBER(SEARCH("communicate",I28))=TRUE,ISNUMBER(SEARCH("worthy",I28))=TRUE,ISNUMBER(SEARCH("thought",I28))=TRUE,ISNUMBER(SEARCH("open",I28))=TRUE,ISNUMBER(SEARCH("believe",I28))=TRUE,ISNUMBER(SEARCH("confident",I28))=TRUE,ISNUMBER(SEARCH("empower",I28))=TRUE),1,0)</f>
        <v>1</v>
      </c>
      <c r="K28" s="199">
        <f t="shared" ref="K28:K59" si="3">IF(OR(ISNUMBER(SEARCH("decision",I28))=TRUE,ISNUMBER(SEARCH("save",I28))=TRUE,ISNUMBER(SEARCH("saving",I28))=TRUE,ISNUMBER(SEARCH("started",I28))=TRUE,ISNUMBER(SEARCH("buy",I28))=TRUE,ISNUMBER(SEARCH("bought",I28))=TRUE),1,0)</f>
        <v>1</v>
      </c>
      <c r="L28" s="199">
        <f t="shared" ref="L28:L59" si="4">IF(OR(ISNUMBER(SEARCH("active",I28))=TRUE,ISNUMBER(SEARCH("proactive",I28))=TRUE,ISNUMBER(SEARCH("face challenge",I28))=TRUE),1,0)</f>
        <v>0</v>
      </c>
      <c r="M28" s="199">
        <f>IF(OR(J28=1,K28=1,L28=1),1,0)</f>
        <v>1</v>
      </c>
      <c r="N28" s="200">
        <f t="shared" ref="N28:N59" si="5">IF(OR(ISNUMBER(SEARCH("started a business",I28))=TRUE,ISNUMBER(SEARCH("started an income generating activity",I28))=TRUE),1,0)</f>
        <v>1</v>
      </c>
      <c r="O28" s="200">
        <f t="shared" ref="O28:O59" si="6">IF(OR(ISNUMBER(SEARCH("got a job",I28))=TRUE,ISNUMBER(SEARCH("got an internship",I28))=TRUE,ISNUMBER(SEARCH("got a promotion",I28))=TRUE),1,0)</f>
        <v>0</v>
      </c>
      <c r="P28" s="200">
        <f t="shared" ref="P28:P91" si="7">IF(OR(ISNUMBER(SEARCH("school admission",I28))=TRUE,ISNUMBER(SEARCH("perfomance in class",I28))=TRUE,ISNUMBER(SEARCH("scholarship",I28))=TRUE,ISNUMBER(SEARCH("pursue higher education",I28))=TRUE),1,0)</f>
        <v>0</v>
      </c>
      <c r="Q28" s="200">
        <f t="shared" ref="Q28:Q91" si="8">IF(OR(ISNUMBER(SEARCH("leadership role",I28))=TRUE),1,0)</f>
        <v>0</v>
      </c>
      <c r="R28" s="242">
        <f t="shared" ref="R28:R45" si="9">IF(OR(M28=1,N28=1,O28=1,P28=1,Q28=1),1,0)</f>
        <v>1</v>
      </c>
      <c r="S28" s="197"/>
      <c r="T28" s="198" t="str">
        <f>IF(ISNA(VLOOKUP(D28,'One year follow-up_inperson'!$C:$C,1,FALSE)),"No","Yes")</f>
        <v>No</v>
      </c>
      <c r="U28" s="61"/>
      <c r="V28" s="61"/>
      <c r="W28" s="61"/>
      <c r="X28" s="61"/>
      <c r="Y28" s="61"/>
      <c r="Z28" s="61"/>
      <c r="AA28" s="61"/>
      <c r="AB28" s="61"/>
      <c r="AC28" s="61"/>
    </row>
    <row r="29" spans="1:29" ht="133.19999999999999" customHeight="1">
      <c r="A29" s="410">
        <v>2</v>
      </c>
      <c r="B29" s="409"/>
      <c r="C29" s="196" t="str">
        <f t="shared" si="1"/>
        <v>244</v>
      </c>
      <c r="D29" s="376">
        <v>2445</v>
      </c>
      <c r="E29" s="381" t="s">
        <v>455</v>
      </c>
      <c r="F29" s="375" t="s">
        <v>2</v>
      </c>
      <c r="G29" s="378">
        <v>19</v>
      </c>
      <c r="H29" s="403" t="s">
        <v>3</v>
      </c>
      <c r="I29" s="373" t="s">
        <v>454</v>
      </c>
      <c r="J29" s="199">
        <f t="shared" si="2"/>
        <v>1</v>
      </c>
      <c r="K29" s="199">
        <f t="shared" si="3"/>
        <v>1</v>
      </c>
      <c r="L29" s="199">
        <f t="shared" si="4"/>
        <v>0</v>
      </c>
      <c r="M29" s="199">
        <f t="shared" ref="M29:M92" si="10">IF(OR(J29=1,K29=1,L29=1),1,0)</f>
        <v>1</v>
      </c>
      <c r="N29" s="200">
        <f t="shared" si="5"/>
        <v>1</v>
      </c>
      <c r="O29" s="200">
        <f t="shared" si="6"/>
        <v>0</v>
      </c>
      <c r="P29" s="200">
        <f t="shared" si="7"/>
        <v>0</v>
      </c>
      <c r="Q29" s="200">
        <f t="shared" si="8"/>
        <v>0</v>
      </c>
      <c r="R29" s="242">
        <f t="shared" si="9"/>
        <v>1</v>
      </c>
      <c r="S29" s="197"/>
      <c r="T29" s="198" t="str">
        <f>IF(ISNA(VLOOKUP(D29,'One year follow-up_inperson'!$C:$C,1,FALSE)),"No","Yes")</f>
        <v>No</v>
      </c>
      <c r="U29" s="61"/>
      <c r="V29" s="61"/>
      <c r="W29" s="61"/>
      <c r="X29" s="61"/>
      <c r="Y29" s="61"/>
      <c r="Z29" s="61"/>
      <c r="AA29" s="61"/>
      <c r="AB29" s="61"/>
      <c r="AC29" s="61"/>
    </row>
    <row r="30" spans="1:29" ht="88.8" customHeight="1">
      <c r="A30" s="410">
        <v>3</v>
      </c>
      <c r="B30" s="409"/>
      <c r="C30" s="196" t="str">
        <f t="shared" si="1"/>
        <v>244</v>
      </c>
      <c r="D30" s="376">
        <v>2446</v>
      </c>
      <c r="E30" s="381" t="s">
        <v>317</v>
      </c>
      <c r="F30" s="375" t="s">
        <v>2</v>
      </c>
      <c r="G30" s="378">
        <v>19</v>
      </c>
      <c r="H30" s="375" t="s">
        <v>3</v>
      </c>
      <c r="I30" s="372" t="s">
        <v>133</v>
      </c>
      <c r="J30" s="199">
        <f t="shared" si="2"/>
        <v>1</v>
      </c>
      <c r="K30" s="199">
        <f t="shared" si="3"/>
        <v>1</v>
      </c>
      <c r="L30" s="199">
        <f t="shared" si="4"/>
        <v>0</v>
      </c>
      <c r="M30" s="199">
        <f t="shared" si="10"/>
        <v>1</v>
      </c>
      <c r="N30" s="200">
        <f t="shared" si="5"/>
        <v>0</v>
      </c>
      <c r="O30" s="200">
        <f t="shared" si="6"/>
        <v>0</v>
      </c>
      <c r="P30" s="200">
        <f t="shared" si="7"/>
        <v>0</v>
      </c>
      <c r="Q30" s="200">
        <f t="shared" si="8"/>
        <v>0</v>
      </c>
      <c r="R30" s="242">
        <f t="shared" si="9"/>
        <v>1</v>
      </c>
      <c r="S30" s="197"/>
      <c r="T30" s="198" t="str">
        <f>IF(ISNA(VLOOKUP(D30,'One year follow-up_inperson'!$C:$C,1,FALSE)),"No","Yes")</f>
        <v>No</v>
      </c>
      <c r="U30" s="61"/>
      <c r="V30" s="61"/>
      <c r="W30" s="61"/>
      <c r="X30" s="61"/>
      <c r="Y30" s="61"/>
      <c r="Z30" s="61"/>
      <c r="AA30" s="61"/>
      <c r="AB30" s="61"/>
      <c r="AC30" s="61"/>
    </row>
    <row r="31" spans="1:29" ht="88.8" customHeight="1">
      <c r="A31" s="410">
        <v>4</v>
      </c>
      <c r="B31" s="409"/>
      <c r="C31" s="196" t="str">
        <f t="shared" si="1"/>
        <v>244</v>
      </c>
      <c r="D31" s="376">
        <v>2447</v>
      </c>
      <c r="E31" s="381" t="s">
        <v>456</v>
      </c>
      <c r="F31" s="375" t="s">
        <v>2</v>
      </c>
      <c r="G31" s="378">
        <v>22</v>
      </c>
      <c r="H31" s="375" t="s">
        <v>3</v>
      </c>
      <c r="I31" s="373" t="s">
        <v>457</v>
      </c>
      <c r="J31" s="199">
        <f t="shared" si="2"/>
        <v>1</v>
      </c>
      <c r="K31" s="199">
        <f t="shared" si="3"/>
        <v>0</v>
      </c>
      <c r="L31" s="199">
        <f t="shared" si="4"/>
        <v>0</v>
      </c>
      <c r="M31" s="199">
        <f t="shared" si="10"/>
        <v>1</v>
      </c>
      <c r="N31" s="200">
        <f t="shared" si="5"/>
        <v>0</v>
      </c>
      <c r="O31" s="200">
        <f t="shared" si="6"/>
        <v>1</v>
      </c>
      <c r="P31" s="200">
        <f t="shared" si="7"/>
        <v>0</v>
      </c>
      <c r="Q31" s="200">
        <f t="shared" si="8"/>
        <v>0</v>
      </c>
      <c r="R31" s="242">
        <f t="shared" si="9"/>
        <v>1</v>
      </c>
      <c r="S31" s="197"/>
      <c r="T31" s="198" t="str">
        <f>IF(ISNA(VLOOKUP(D31,'One year follow-up_inperson'!$C:$C,1,FALSE)),"No","Yes")</f>
        <v>No</v>
      </c>
      <c r="U31" s="61"/>
      <c r="V31" s="61"/>
      <c r="W31" s="61"/>
      <c r="X31" s="61"/>
      <c r="Y31" s="61"/>
      <c r="Z31" s="61"/>
      <c r="AA31" s="61"/>
      <c r="AB31" s="61"/>
      <c r="AC31" s="61"/>
    </row>
    <row r="32" spans="1:29" ht="107.4" customHeight="1">
      <c r="A32" s="410">
        <v>5</v>
      </c>
      <c r="B32" s="409"/>
      <c r="C32" s="196" t="str">
        <f t="shared" si="1"/>
        <v>244</v>
      </c>
      <c r="D32" s="376">
        <v>2448</v>
      </c>
      <c r="E32" s="381" t="s">
        <v>322</v>
      </c>
      <c r="F32" s="375" t="s">
        <v>2</v>
      </c>
      <c r="G32" s="378">
        <v>44</v>
      </c>
      <c r="H32" s="375" t="s">
        <v>3</v>
      </c>
      <c r="I32" s="371" t="s">
        <v>398</v>
      </c>
      <c r="J32" s="199">
        <f t="shared" si="2"/>
        <v>1</v>
      </c>
      <c r="K32" s="199">
        <f t="shared" si="3"/>
        <v>1</v>
      </c>
      <c r="L32" s="199">
        <f t="shared" si="4"/>
        <v>0</v>
      </c>
      <c r="M32" s="199">
        <f t="shared" si="10"/>
        <v>1</v>
      </c>
      <c r="N32" s="200">
        <f t="shared" si="5"/>
        <v>1</v>
      </c>
      <c r="O32" s="200">
        <f t="shared" si="6"/>
        <v>0</v>
      </c>
      <c r="P32" s="200">
        <f t="shared" si="7"/>
        <v>0</v>
      </c>
      <c r="Q32" s="200">
        <f t="shared" si="8"/>
        <v>0</v>
      </c>
      <c r="R32" s="242">
        <f t="shared" si="9"/>
        <v>1</v>
      </c>
      <c r="S32" s="197"/>
      <c r="T32" s="198" t="str">
        <f>IF(ISNA(VLOOKUP(D32,'One year follow-up_inperson'!$C:$C,1,FALSE)),"No","Yes")</f>
        <v>No</v>
      </c>
      <c r="U32" s="61"/>
      <c r="V32" s="61"/>
      <c r="W32" s="61"/>
      <c r="X32" s="61"/>
      <c r="Y32" s="61"/>
      <c r="Z32" s="61"/>
      <c r="AA32" s="61"/>
      <c r="AB32" s="61"/>
      <c r="AC32" s="61"/>
    </row>
    <row r="33" spans="1:29" ht="98.4" customHeight="1">
      <c r="A33" s="410">
        <v>6</v>
      </c>
      <c r="B33" s="409"/>
      <c r="C33" s="196" t="str">
        <f t="shared" si="1"/>
        <v>244</v>
      </c>
      <c r="D33" s="376">
        <v>2449</v>
      </c>
      <c r="E33" s="381" t="s">
        <v>326</v>
      </c>
      <c r="F33" s="375" t="s">
        <v>2</v>
      </c>
      <c r="G33" s="378">
        <v>50</v>
      </c>
      <c r="H33" s="377" t="s">
        <v>3</v>
      </c>
      <c r="I33" s="372" t="s">
        <v>399</v>
      </c>
      <c r="J33" s="199">
        <f t="shared" si="2"/>
        <v>1</v>
      </c>
      <c r="K33" s="199">
        <f t="shared" si="3"/>
        <v>1</v>
      </c>
      <c r="L33" s="199">
        <f t="shared" si="4"/>
        <v>0</v>
      </c>
      <c r="M33" s="199">
        <f t="shared" si="10"/>
        <v>1</v>
      </c>
      <c r="N33" s="200">
        <f t="shared" si="5"/>
        <v>1</v>
      </c>
      <c r="O33" s="200">
        <f t="shared" si="6"/>
        <v>0</v>
      </c>
      <c r="P33" s="200">
        <f t="shared" si="7"/>
        <v>0</v>
      </c>
      <c r="Q33" s="200">
        <f t="shared" si="8"/>
        <v>1</v>
      </c>
      <c r="R33" s="242">
        <f t="shared" si="9"/>
        <v>1</v>
      </c>
      <c r="S33" s="197"/>
      <c r="T33" s="198" t="str">
        <f>IF(ISNA(VLOOKUP(D33,'One year follow-up_inperson'!$C:$C,1,FALSE)),"No","Yes")</f>
        <v>No</v>
      </c>
      <c r="U33" s="61"/>
      <c r="V33" s="61"/>
      <c r="W33" s="61"/>
      <c r="X33" s="61"/>
      <c r="Y33" s="61"/>
      <c r="Z33" s="61"/>
      <c r="AA33" s="61"/>
      <c r="AB33" s="61"/>
      <c r="AC33" s="61"/>
    </row>
    <row r="34" spans="1:29" ht="92.4" customHeight="1">
      <c r="A34" s="410">
        <v>7</v>
      </c>
      <c r="B34" s="409"/>
      <c r="C34" s="196" t="str">
        <f t="shared" si="1"/>
        <v>244</v>
      </c>
      <c r="D34" s="376">
        <v>24412</v>
      </c>
      <c r="E34" s="381" t="s">
        <v>320</v>
      </c>
      <c r="F34" s="375" t="s">
        <v>2</v>
      </c>
      <c r="G34" s="378">
        <v>46</v>
      </c>
      <c r="H34" s="377" t="s">
        <v>3</v>
      </c>
      <c r="I34" s="371" t="s">
        <v>316</v>
      </c>
      <c r="J34" s="199">
        <f t="shared" si="2"/>
        <v>1</v>
      </c>
      <c r="K34" s="199">
        <f t="shared" si="3"/>
        <v>1</v>
      </c>
      <c r="L34" s="199">
        <f t="shared" si="4"/>
        <v>0</v>
      </c>
      <c r="M34" s="199">
        <f t="shared" si="10"/>
        <v>1</v>
      </c>
      <c r="N34" s="200">
        <f t="shared" si="5"/>
        <v>1</v>
      </c>
      <c r="O34" s="200">
        <f t="shared" si="6"/>
        <v>0</v>
      </c>
      <c r="P34" s="200">
        <f t="shared" si="7"/>
        <v>0</v>
      </c>
      <c r="Q34" s="200">
        <f t="shared" si="8"/>
        <v>0</v>
      </c>
      <c r="R34" s="242">
        <f t="shared" si="9"/>
        <v>1</v>
      </c>
      <c r="S34" s="197"/>
      <c r="T34" s="198" t="str">
        <f>IF(ISNA(VLOOKUP(D34,'One year follow-up_inperson'!$C:$C,1,FALSE)),"No","Yes")</f>
        <v>No</v>
      </c>
      <c r="U34" s="61"/>
      <c r="V34" s="61"/>
      <c r="W34" s="61"/>
      <c r="X34" s="61"/>
      <c r="Y34" s="61"/>
      <c r="Z34" s="61"/>
      <c r="AA34" s="61"/>
      <c r="AB34" s="61"/>
      <c r="AC34" s="61"/>
    </row>
    <row r="35" spans="1:29" ht="105.6" customHeight="1">
      <c r="A35" s="410">
        <v>8</v>
      </c>
      <c r="B35" s="409"/>
      <c r="C35" s="196" t="str">
        <f t="shared" si="1"/>
        <v>244</v>
      </c>
      <c r="D35" s="376">
        <v>24416</v>
      </c>
      <c r="E35" s="381" t="s">
        <v>324</v>
      </c>
      <c r="F35" s="375" t="s">
        <v>2</v>
      </c>
      <c r="G35" s="378">
        <v>20</v>
      </c>
      <c r="H35" s="378" t="s">
        <v>3</v>
      </c>
      <c r="I35" s="372" t="s">
        <v>400</v>
      </c>
      <c r="J35" s="199">
        <f t="shared" si="2"/>
        <v>0</v>
      </c>
      <c r="K35" s="199">
        <f t="shared" si="3"/>
        <v>1</v>
      </c>
      <c r="L35" s="199">
        <f t="shared" si="4"/>
        <v>0</v>
      </c>
      <c r="M35" s="199">
        <f t="shared" si="10"/>
        <v>1</v>
      </c>
      <c r="N35" s="200">
        <f t="shared" si="5"/>
        <v>0</v>
      </c>
      <c r="O35" s="200">
        <f t="shared" si="6"/>
        <v>1</v>
      </c>
      <c r="P35" s="200">
        <f t="shared" si="7"/>
        <v>0</v>
      </c>
      <c r="Q35" s="200">
        <f t="shared" si="8"/>
        <v>0</v>
      </c>
      <c r="R35" s="242">
        <f t="shared" si="9"/>
        <v>1</v>
      </c>
      <c r="S35" s="197"/>
      <c r="T35" s="198" t="str">
        <f>IF(ISNA(VLOOKUP(D35,'One year follow-up_inperson'!$C:$C,1,FALSE)),"No","Yes")</f>
        <v>No</v>
      </c>
      <c r="U35" s="61"/>
      <c r="V35" s="61"/>
      <c r="W35" s="61"/>
      <c r="X35" s="61"/>
      <c r="Y35" s="61"/>
      <c r="Z35" s="61"/>
      <c r="AA35" s="61"/>
      <c r="AB35" s="61"/>
      <c r="AC35" s="61"/>
    </row>
    <row r="36" spans="1:29" ht="81" customHeight="1">
      <c r="A36" s="410">
        <v>9</v>
      </c>
      <c r="B36" s="409"/>
      <c r="C36" s="196" t="str">
        <f t="shared" si="1"/>
        <v>244</v>
      </c>
      <c r="D36" s="376">
        <v>24418</v>
      </c>
      <c r="E36" s="381" t="s">
        <v>321</v>
      </c>
      <c r="F36" s="375" t="s">
        <v>2</v>
      </c>
      <c r="G36" s="378">
        <v>24</v>
      </c>
      <c r="H36" s="378" t="s">
        <v>3</v>
      </c>
      <c r="I36" s="371" t="s">
        <v>401</v>
      </c>
      <c r="J36" s="199">
        <f t="shared" si="2"/>
        <v>1</v>
      </c>
      <c r="K36" s="199">
        <f t="shared" si="3"/>
        <v>1</v>
      </c>
      <c r="L36" s="199">
        <f t="shared" si="4"/>
        <v>0</v>
      </c>
      <c r="M36" s="199">
        <f t="shared" si="10"/>
        <v>1</v>
      </c>
      <c r="N36" s="200">
        <f t="shared" si="5"/>
        <v>1</v>
      </c>
      <c r="O36" s="200">
        <f t="shared" si="6"/>
        <v>0</v>
      </c>
      <c r="P36" s="200">
        <f t="shared" si="7"/>
        <v>0</v>
      </c>
      <c r="Q36" s="200">
        <f t="shared" si="8"/>
        <v>0</v>
      </c>
      <c r="R36" s="242">
        <f t="shared" si="9"/>
        <v>1</v>
      </c>
      <c r="S36" s="197"/>
      <c r="T36" s="198" t="str">
        <f>IF(ISNA(VLOOKUP(D36,'One year follow-up_inperson'!$C:$C,1,FALSE)),"No","Yes")</f>
        <v>No</v>
      </c>
      <c r="U36" s="61"/>
      <c r="V36" s="61"/>
      <c r="W36" s="61"/>
      <c r="X36" s="61"/>
      <c r="Y36" s="61"/>
      <c r="Z36" s="61"/>
      <c r="AA36" s="61"/>
      <c r="AB36" s="61"/>
      <c r="AC36" s="61"/>
    </row>
    <row r="37" spans="1:29" ht="103.95" customHeight="1">
      <c r="A37" s="410">
        <v>10</v>
      </c>
      <c r="B37" s="409"/>
      <c r="C37" s="196" t="str">
        <f t="shared" si="1"/>
        <v>244</v>
      </c>
      <c r="D37" s="376">
        <v>24419</v>
      </c>
      <c r="E37" s="381" t="s">
        <v>402</v>
      </c>
      <c r="F37" s="375" t="s">
        <v>2</v>
      </c>
      <c r="G37" s="378">
        <v>20</v>
      </c>
      <c r="H37" s="378" t="s">
        <v>3</v>
      </c>
      <c r="I37" s="372" t="s">
        <v>403</v>
      </c>
      <c r="J37" s="199">
        <f t="shared" si="2"/>
        <v>1</v>
      </c>
      <c r="K37" s="199">
        <f t="shared" si="3"/>
        <v>1</v>
      </c>
      <c r="L37" s="199">
        <f t="shared" si="4"/>
        <v>0</v>
      </c>
      <c r="M37" s="199">
        <f t="shared" si="10"/>
        <v>1</v>
      </c>
      <c r="N37" s="200">
        <f t="shared" si="5"/>
        <v>0</v>
      </c>
      <c r="O37" s="200">
        <f t="shared" si="6"/>
        <v>0</v>
      </c>
      <c r="P37" s="200">
        <f t="shared" si="7"/>
        <v>0</v>
      </c>
      <c r="Q37" s="200">
        <f t="shared" si="8"/>
        <v>0</v>
      </c>
      <c r="R37" s="242">
        <f t="shared" si="9"/>
        <v>1</v>
      </c>
      <c r="S37" s="197"/>
      <c r="T37" s="198" t="str">
        <f>IF(ISNA(VLOOKUP(D37,'One year follow-up_inperson'!$C:$C,1,FALSE)),"No","Yes")</f>
        <v>No</v>
      </c>
      <c r="U37" s="61"/>
      <c r="V37" s="61"/>
      <c r="W37" s="61"/>
      <c r="X37" s="61"/>
      <c r="Y37" s="61"/>
      <c r="Z37" s="61"/>
      <c r="AA37" s="61"/>
      <c r="AB37" s="61"/>
      <c r="AC37" s="61"/>
    </row>
    <row r="38" spans="1:29" ht="142.80000000000001" customHeight="1">
      <c r="A38" s="410">
        <v>11</v>
      </c>
      <c r="B38" s="409"/>
      <c r="C38" s="196" t="str">
        <f t="shared" si="1"/>
        <v>244</v>
      </c>
      <c r="D38" s="376">
        <v>24420</v>
      </c>
      <c r="E38" s="381" t="s">
        <v>323</v>
      </c>
      <c r="F38" s="375" t="s">
        <v>2</v>
      </c>
      <c r="G38" s="378">
        <v>20</v>
      </c>
      <c r="H38" s="377" t="s">
        <v>3</v>
      </c>
      <c r="I38" s="372" t="s">
        <v>404</v>
      </c>
      <c r="J38" s="199">
        <f t="shared" si="2"/>
        <v>0</v>
      </c>
      <c r="K38" s="199">
        <f t="shared" si="3"/>
        <v>1</v>
      </c>
      <c r="L38" s="199">
        <f t="shared" si="4"/>
        <v>0</v>
      </c>
      <c r="M38" s="199">
        <f t="shared" si="10"/>
        <v>1</v>
      </c>
      <c r="N38" s="200">
        <f t="shared" si="5"/>
        <v>1</v>
      </c>
      <c r="O38" s="200">
        <f t="shared" si="6"/>
        <v>0</v>
      </c>
      <c r="P38" s="200">
        <f t="shared" si="7"/>
        <v>0</v>
      </c>
      <c r="Q38" s="200">
        <f t="shared" si="8"/>
        <v>0</v>
      </c>
      <c r="R38" s="242">
        <f t="shared" si="9"/>
        <v>1</v>
      </c>
      <c r="S38" s="197"/>
      <c r="T38" s="198" t="str">
        <f>IF(ISNA(VLOOKUP(D38,'One year follow-up_inperson'!$C:$C,1,FALSE)),"No","Yes")</f>
        <v>No</v>
      </c>
      <c r="U38" s="61"/>
      <c r="V38" s="61"/>
      <c r="W38" s="61"/>
      <c r="X38" s="61"/>
      <c r="Y38" s="61"/>
      <c r="Z38" s="61"/>
      <c r="AA38" s="61"/>
      <c r="AB38" s="61"/>
      <c r="AC38" s="61"/>
    </row>
    <row r="39" spans="1:29" ht="142.80000000000001" customHeight="1">
      <c r="A39" s="410">
        <v>12</v>
      </c>
      <c r="B39" s="409"/>
      <c r="C39" s="196" t="str">
        <f t="shared" si="1"/>
        <v>244</v>
      </c>
      <c r="D39" s="376">
        <v>24421</v>
      </c>
      <c r="E39" s="381" t="s">
        <v>461</v>
      </c>
      <c r="F39" s="375" t="s">
        <v>2</v>
      </c>
      <c r="G39" s="378">
        <v>42</v>
      </c>
      <c r="H39" s="375" t="s">
        <v>3</v>
      </c>
      <c r="I39" s="372" t="s">
        <v>462</v>
      </c>
      <c r="J39" s="199">
        <f t="shared" si="2"/>
        <v>0</v>
      </c>
      <c r="K39" s="199">
        <f t="shared" si="3"/>
        <v>1</v>
      </c>
      <c r="L39" s="199">
        <f t="shared" si="4"/>
        <v>0</v>
      </c>
      <c r="M39" s="199">
        <f t="shared" si="10"/>
        <v>1</v>
      </c>
      <c r="N39" s="200">
        <f t="shared" si="5"/>
        <v>0</v>
      </c>
      <c r="O39" s="200">
        <f t="shared" si="6"/>
        <v>0</v>
      </c>
      <c r="P39" s="200">
        <f t="shared" si="7"/>
        <v>0</v>
      </c>
      <c r="Q39" s="200">
        <f t="shared" si="8"/>
        <v>0</v>
      </c>
      <c r="R39" s="242">
        <f t="shared" si="9"/>
        <v>1</v>
      </c>
      <c r="S39" s="197"/>
      <c r="T39" s="198" t="str">
        <f>IF(ISNA(VLOOKUP(D39,'One year follow-up_inperson'!$C:$C,1,FALSE)),"No","Yes")</f>
        <v>No</v>
      </c>
      <c r="U39" s="61"/>
      <c r="V39" s="61"/>
      <c r="W39" s="61"/>
      <c r="X39" s="61"/>
      <c r="Y39" s="61"/>
      <c r="Z39" s="61"/>
      <c r="AA39" s="61"/>
      <c r="AB39" s="61"/>
      <c r="AC39" s="61"/>
    </row>
    <row r="40" spans="1:29" ht="136.19999999999999" customHeight="1">
      <c r="A40" s="410">
        <v>13</v>
      </c>
      <c r="B40" s="409"/>
      <c r="C40" s="196" t="str">
        <f t="shared" si="1"/>
        <v>244</v>
      </c>
      <c r="D40" s="394">
        <v>24424</v>
      </c>
      <c r="E40" s="381" t="s">
        <v>325</v>
      </c>
      <c r="F40" s="395" t="s">
        <v>2</v>
      </c>
      <c r="G40" s="396">
        <v>40</v>
      </c>
      <c r="H40" s="395" t="s">
        <v>3</v>
      </c>
      <c r="I40" s="296" t="s">
        <v>132</v>
      </c>
      <c r="J40" s="199">
        <f t="shared" si="2"/>
        <v>1</v>
      </c>
      <c r="K40" s="199">
        <f t="shared" si="3"/>
        <v>0</v>
      </c>
      <c r="L40" s="199">
        <f t="shared" si="4"/>
        <v>1</v>
      </c>
      <c r="M40" s="199">
        <f t="shared" si="10"/>
        <v>1</v>
      </c>
      <c r="N40" s="200">
        <f t="shared" si="5"/>
        <v>0</v>
      </c>
      <c r="O40" s="200">
        <f t="shared" si="6"/>
        <v>0</v>
      </c>
      <c r="P40" s="200">
        <f t="shared" si="7"/>
        <v>0</v>
      </c>
      <c r="Q40" s="200">
        <f t="shared" si="8"/>
        <v>0</v>
      </c>
      <c r="R40" s="242">
        <f t="shared" si="9"/>
        <v>1</v>
      </c>
      <c r="S40" s="197"/>
      <c r="T40" s="198" t="str">
        <f>IF(ISNA(VLOOKUP(D40,'One year follow-up_inperson'!$C:$C,1,FALSE)),"No","Yes")</f>
        <v>No</v>
      </c>
      <c r="U40" s="61"/>
      <c r="V40" s="61"/>
      <c r="W40" s="61"/>
      <c r="X40" s="61"/>
      <c r="Y40" s="61"/>
      <c r="Z40" s="61"/>
      <c r="AA40" s="61"/>
      <c r="AB40" s="61"/>
      <c r="AC40" s="61"/>
    </row>
    <row r="41" spans="1:29" ht="91.8" customHeight="1" thickBot="1">
      <c r="A41" s="410">
        <v>14</v>
      </c>
      <c r="B41" s="409"/>
      <c r="C41" s="196" t="str">
        <f t="shared" si="1"/>
        <v>244</v>
      </c>
      <c r="D41" s="394">
        <v>24425</v>
      </c>
      <c r="E41" s="381" t="s">
        <v>319</v>
      </c>
      <c r="F41" s="395" t="s">
        <v>2</v>
      </c>
      <c r="G41" s="397">
        <v>48</v>
      </c>
      <c r="H41" s="397" t="s">
        <v>3</v>
      </c>
      <c r="I41" s="296" t="s">
        <v>136</v>
      </c>
      <c r="J41" s="199">
        <f t="shared" si="2"/>
        <v>0</v>
      </c>
      <c r="K41" s="199">
        <f t="shared" si="3"/>
        <v>1</v>
      </c>
      <c r="L41" s="199">
        <f t="shared" si="4"/>
        <v>0</v>
      </c>
      <c r="M41" s="199">
        <f t="shared" si="10"/>
        <v>1</v>
      </c>
      <c r="N41" s="200">
        <f t="shared" si="5"/>
        <v>1</v>
      </c>
      <c r="O41" s="200">
        <f t="shared" si="6"/>
        <v>0</v>
      </c>
      <c r="P41" s="200">
        <f t="shared" si="7"/>
        <v>0</v>
      </c>
      <c r="Q41" s="200">
        <f t="shared" si="8"/>
        <v>0</v>
      </c>
      <c r="R41" s="242">
        <f t="shared" si="9"/>
        <v>1</v>
      </c>
      <c r="S41" s="197"/>
      <c r="T41" s="198" t="str">
        <f>IF(ISNA(VLOOKUP(D41,'One year follow-up_inperson'!$C:$C,1,FALSE)),"No","Yes")</f>
        <v>No</v>
      </c>
      <c r="U41" s="61"/>
      <c r="V41" s="61"/>
      <c r="W41" s="61"/>
      <c r="X41" s="61"/>
      <c r="Y41" s="61"/>
      <c r="Z41" s="61"/>
      <c r="AA41" s="61"/>
      <c r="AB41" s="61"/>
      <c r="AC41" s="61"/>
    </row>
    <row r="42" spans="1:29" ht="86.4" customHeight="1">
      <c r="A42" s="410">
        <v>15</v>
      </c>
      <c r="B42" s="409"/>
      <c r="C42" s="198" t="str">
        <f t="shared" ref="C42:C65" si="11">LEFT(D42,3)</f>
        <v>244</v>
      </c>
      <c r="D42" s="398">
        <v>24426</v>
      </c>
      <c r="E42" s="381" t="s">
        <v>318</v>
      </c>
      <c r="F42" s="395" t="s">
        <v>2</v>
      </c>
      <c r="G42" s="395">
        <v>34</v>
      </c>
      <c r="H42" s="395" t="s">
        <v>3</v>
      </c>
      <c r="I42" s="136" t="s">
        <v>135</v>
      </c>
      <c r="J42" s="199">
        <f t="shared" si="2"/>
        <v>1</v>
      </c>
      <c r="K42" s="199">
        <f t="shared" si="3"/>
        <v>1</v>
      </c>
      <c r="L42" s="199">
        <f t="shared" si="4"/>
        <v>0</v>
      </c>
      <c r="M42" s="199">
        <f t="shared" si="10"/>
        <v>1</v>
      </c>
      <c r="N42" s="200">
        <f t="shared" si="5"/>
        <v>1</v>
      </c>
      <c r="O42" s="200">
        <f t="shared" si="6"/>
        <v>0</v>
      </c>
      <c r="P42" s="200">
        <f t="shared" si="7"/>
        <v>0</v>
      </c>
      <c r="Q42" s="200">
        <f t="shared" si="8"/>
        <v>0</v>
      </c>
      <c r="R42" s="242">
        <f t="shared" si="9"/>
        <v>1</v>
      </c>
      <c r="S42" s="197"/>
      <c r="T42" s="198" t="str">
        <f>IF(ISNA(VLOOKUP(D42,'One year follow-up_inperson'!$C:$C,1,FALSE)),"No","Yes")</f>
        <v>No</v>
      </c>
      <c r="U42" s="61"/>
      <c r="V42" s="61"/>
      <c r="W42" s="61"/>
      <c r="X42" s="61"/>
      <c r="Y42" s="61"/>
      <c r="Z42" s="61"/>
      <c r="AA42" s="61"/>
      <c r="AB42" s="61"/>
      <c r="AC42" s="61"/>
    </row>
    <row r="43" spans="1:29" ht="129" customHeight="1">
      <c r="A43" s="410">
        <v>16</v>
      </c>
      <c r="B43" s="408"/>
      <c r="C43" s="383" t="str">
        <f t="shared" si="11"/>
        <v>249</v>
      </c>
      <c r="D43" s="122">
        <v>2491</v>
      </c>
      <c r="E43" s="372" t="s">
        <v>171</v>
      </c>
      <c r="F43" s="384" t="s">
        <v>2</v>
      </c>
      <c r="G43" s="296">
        <v>65</v>
      </c>
      <c r="H43" s="296" t="s">
        <v>3</v>
      </c>
      <c r="I43" s="296" t="s">
        <v>405</v>
      </c>
      <c r="J43" s="199">
        <f t="shared" si="2"/>
        <v>1</v>
      </c>
      <c r="K43" s="199">
        <f t="shared" si="3"/>
        <v>0</v>
      </c>
      <c r="L43" s="199">
        <f t="shared" si="4"/>
        <v>0</v>
      </c>
      <c r="M43" s="199">
        <f t="shared" si="10"/>
        <v>1</v>
      </c>
      <c r="N43" s="200">
        <f t="shared" si="5"/>
        <v>0</v>
      </c>
      <c r="O43" s="200">
        <f t="shared" si="6"/>
        <v>0</v>
      </c>
      <c r="P43" s="200">
        <f t="shared" si="7"/>
        <v>0</v>
      </c>
      <c r="Q43" s="200">
        <f t="shared" si="8"/>
        <v>0</v>
      </c>
      <c r="R43" s="242">
        <f t="shared" si="9"/>
        <v>1</v>
      </c>
      <c r="S43" s="197"/>
      <c r="T43" s="198" t="str">
        <f>IF(ISNA(VLOOKUP(D43,'One year follow-up_inperson'!$C:$C,1,FALSE)),"No","Yes")</f>
        <v>No</v>
      </c>
      <c r="U43" s="61"/>
      <c r="V43" s="61"/>
      <c r="W43" s="61"/>
      <c r="X43" s="61"/>
      <c r="Y43" s="61"/>
      <c r="Z43" s="61"/>
      <c r="AA43" s="61"/>
      <c r="AB43" s="61"/>
      <c r="AC43" s="61"/>
    </row>
    <row r="44" spans="1:29" ht="250.2" customHeight="1">
      <c r="A44" s="410">
        <v>17</v>
      </c>
      <c r="B44" s="408"/>
      <c r="C44" s="122" t="str">
        <f t="shared" si="11"/>
        <v>249</v>
      </c>
      <c r="D44" s="122">
        <v>2492</v>
      </c>
      <c r="E44" s="296" t="s">
        <v>139</v>
      </c>
      <c r="F44" s="382" t="s">
        <v>2</v>
      </c>
      <c r="G44" s="296">
        <v>50</v>
      </c>
      <c r="H44" s="296" t="s">
        <v>3</v>
      </c>
      <c r="I44" s="296" t="s">
        <v>140</v>
      </c>
      <c r="J44" s="199">
        <f t="shared" si="2"/>
        <v>1</v>
      </c>
      <c r="K44" s="199">
        <f t="shared" si="3"/>
        <v>1</v>
      </c>
      <c r="L44" s="199">
        <f t="shared" si="4"/>
        <v>0</v>
      </c>
      <c r="M44" s="199">
        <f t="shared" si="10"/>
        <v>1</v>
      </c>
      <c r="N44" s="200">
        <f t="shared" si="5"/>
        <v>0</v>
      </c>
      <c r="O44" s="200">
        <f t="shared" si="6"/>
        <v>0</v>
      </c>
      <c r="P44" s="200">
        <f t="shared" si="7"/>
        <v>0</v>
      </c>
      <c r="Q44" s="200">
        <f t="shared" si="8"/>
        <v>0</v>
      </c>
      <c r="R44" s="242">
        <f t="shared" si="9"/>
        <v>1</v>
      </c>
      <c r="S44" s="197"/>
      <c r="T44" s="198" t="str">
        <f>IF(ISNA(VLOOKUP(D44,'One year follow-up_inperson'!$C:$C,1,FALSE)),"No","Yes")</f>
        <v>No</v>
      </c>
    </row>
    <row r="45" spans="1:29" ht="127.2" customHeight="1">
      <c r="A45" s="410">
        <v>18</v>
      </c>
      <c r="B45" s="408"/>
      <c r="C45" s="122" t="str">
        <f t="shared" si="11"/>
        <v>249</v>
      </c>
      <c r="D45" s="122">
        <v>2494</v>
      </c>
      <c r="E45" s="296" t="s">
        <v>172</v>
      </c>
      <c r="F45" s="382" t="s">
        <v>2</v>
      </c>
      <c r="G45" s="296">
        <v>33</v>
      </c>
      <c r="H45" s="296" t="s">
        <v>3</v>
      </c>
      <c r="I45" s="296" t="s">
        <v>406</v>
      </c>
      <c r="J45" s="199">
        <f t="shared" si="2"/>
        <v>1</v>
      </c>
      <c r="K45" s="199">
        <f t="shared" si="3"/>
        <v>0</v>
      </c>
      <c r="L45" s="199">
        <f t="shared" si="4"/>
        <v>0</v>
      </c>
      <c r="M45" s="199">
        <f t="shared" si="10"/>
        <v>1</v>
      </c>
      <c r="N45" s="200">
        <f t="shared" si="5"/>
        <v>0</v>
      </c>
      <c r="O45" s="200">
        <f t="shared" si="6"/>
        <v>0</v>
      </c>
      <c r="P45" s="200">
        <f t="shared" si="7"/>
        <v>0</v>
      </c>
      <c r="Q45" s="200">
        <f t="shared" si="8"/>
        <v>0</v>
      </c>
      <c r="R45" s="242">
        <f t="shared" si="9"/>
        <v>1</v>
      </c>
      <c r="S45" s="197"/>
      <c r="T45" s="198" t="str">
        <f>IF(ISNA(VLOOKUP(D45,'One year follow-up_inperson'!$C:$C,1,FALSE)),"No","Yes")</f>
        <v>No</v>
      </c>
    </row>
    <row r="46" spans="1:29" ht="223.2" customHeight="1">
      <c r="A46" s="410">
        <v>19</v>
      </c>
      <c r="B46" s="408"/>
      <c r="C46" s="122" t="str">
        <f t="shared" si="11"/>
        <v>249</v>
      </c>
      <c r="D46" s="122">
        <v>2495</v>
      </c>
      <c r="E46" s="296" t="s">
        <v>173</v>
      </c>
      <c r="F46" s="382" t="s">
        <v>2</v>
      </c>
      <c r="G46" s="296">
        <v>38</v>
      </c>
      <c r="H46" s="296" t="s">
        <v>3</v>
      </c>
      <c r="I46" s="296" t="s">
        <v>407</v>
      </c>
      <c r="J46" s="199">
        <f t="shared" si="2"/>
        <v>0</v>
      </c>
      <c r="K46" s="199">
        <f t="shared" si="3"/>
        <v>1</v>
      </c>
      <c r="L46" s="199">
        <f t="shared" si="4"/>
        <v>1</v>
      </c>
      <c r="M46" s="199">
        <f t="shared" si="10"/>
        <v>1</v>
      </c>
      <c r="N46" s="200">
        <f t="shared" si="5"/>
        <v>0</v>
      </c>
      <c r="O46" s="200">
        <f t="shared" si="6"/>
        <v>0</v>
      </c>
      <c r="P46" s="200">
        <f t="shared" si="7"/>
        <v>0</v>
      </c>
      <c r="Q46" s="200">
        <f t="shared" si="8"/>
        <v>0</v>
      </c>
      <c r="R46" s="242">
        <f t="shared" ref="R46:R109" si="12">IF(OR(M46=1,N46=1,O46=1,P46=1,Q46=1),1,0)</f>
        <v>1</v>
      </c>
      <c r="S46" s="197"/>
      <c r="T46" s="198" t="str">
        <f>IF(ISNA(VLOOKUP(D46,'One year follow-up_inperson'!$C:$C,1,FALSE)),"No","Yes")</f>
        <v>No</v>
      </c>
    </row>
    <row r="47" spans="1:29" ht="148.80000000000001" customHeight="1">
      <c r="A47" s="410">
        <v>20</v>
      </c>
      <c r="B47" s="408"/>
      <c r="C47" s="122" t="str">
        <f t="shared" si="11"/>
        <v>249</v>
      </c>
      <c r="D47" s="122">
        <v>2496</v>
      </c>
      <c r="E47" s="296" t="s">
        <v>174</v>
      </c>
      <c r="F47" s="382" t="s">
        <v>2</v>
      </c>
      <c r="G47" s="296">
        <v>50</v>
      </c>
      <c r="H47" s="296" t="s">
        <v>3</v>
      </c>
      <c r="I47" s="296" t="s">
        <v>141</v>
      </c>
      <c r="J47" s="199">
        <f t="shared" si="2"/>
        <v>1</v>
      </c>
      <c r="K47" s="199">
        <f t="shared" si="3"/>
        <v>1</v>
      </c>
      <c r="L47" s="199">
        <f t="shared" si="4"/>
        <v>0</v>
      </c>
      <c r="M47" s="199">
        <f t="shared" si="10"/>
        <v>1</v>
      </c>
      <c r="N47" s="200">
        <f t="shared" si="5"/>
        <v>0</v>
      </c>
      <c r="O47" s="200">
        <f t="shared" si="6"/>
        <v>0</v>
      </c>
      <c r="P47" s="200">
        <f t="shared" si="7"/>
        <v>0</v>
      </c>
      <c r="Q47" s="200">
        <f t="shared" si="8"/>
        <v>0</v>
      </c>
      <c r="R47" s="242">
        <f t="shared" si="12"/>
        <v>1</v>
      </c>
      <c r="S47" s="197"/>
      <c r="T47" s="198" t="str">
        <f>IF(ISNA(VLOOKUP(D47,'One year follow-up_inperson'!$C:$C,1,FALSE)),"No","Yes")</f>
        <v>No</v>
      </c>
    </row>
    <row r="48" spans="1:29" ht="221.4" customHeight="1">
      <c r="A48" s="410">
        <v>21</v>
      </c>
      <c r="B48" s="408"/>
      <c r="C48" s="122" t="str">
        <f t="shared" si="11"/>
        <v>249</v>
      </c>
      <c r="D48" s="122">
        <v>2497</v>
      </c>
      <c r="E48" s="296" t="s">
        <v>175</v>
      </c>
      <c r="F48" s="382" t="s">
        <v>4</v>
      </c>
      <c r="G48" s="296">
        <v>37</v>
      </c>
      <c r="H48" s="296" t="s">
        <v>3</v>
      </c>
      <c r="I48" s="296" t="s">
        <v>142</v>
      </c>
      <c r="J48" s="199">
        <f t="shared" si="2"/>
        <v>0</v>
      </c>
      <c r="K48" s="199">
        <f t="shared" si="3"/>
        <v>1</v>
      </c>
      <c r="L48" s="199">
        <f t="shared" si="4"/>
        <v>0</v>
      </c>
      <c r="M48" s="199">
        <f t="shared" si="10"/>
        <v>1</v>
      </c>
      <c r="N48" s="200">
        <f t="shared" si="5"/>
        <v>0</v>
      </c>
      <c r="O48" s="200">
        <f t="shared" si="6"/>
        <v>0</v>
      </c>
      <c r="P48" s="200">
        <f t="shared" si="7"/>
        <v>0</v>
      </c>
      <c r="Q48" s="200">
        <f t="shared" si="8"/>
        <v>0</v>
      </c>
      <c r="R48" s="242">
        <f t="shared" si="12"/>
        <v>1</v>
      </c>
      <c r="S48" s="197"/>
      <c r="T48" s="198" t="str">
        <f>IF(ISNA(VLOOKUP(D48,'One year follow-up_inperson'!$C:$C,1,FALSE)),"No","Yes")</f>
        <v>No</v>
      </c>
    </row>
    <row r="49" spans="1:20" ht="166.2" customHeight="1">
      <c r="A49" s="410">
        <v>22</v>
      </c>
      <c r="B49" s="408"/>
      <c r="C49" s="122" t="str">
        <f t="shared" si="11"/>
        <v>249</v>
      </c>
      <c r="D49" s="122">
        <v>2498</v>
      </c>
      <c r="E49" s="296" t="s">
        <v>144</v>
      </c>
      <c r="F49" s="382" t="s">
        <v>2</v>
      </c>
      <c r="G49" s="296">
        <v>40</v>
      </c>
      <c r="H49" s="296" t="s">
        <v>3</v>
      </c>
      <c r="I49" s="296" t="s">
        <v>143</v>
      </c>
      <c r="J49" s="199">
        <f t="shared" si="2"/>
        <v>1</v>
      </c>
      <c r="K49" s="199">
        <f t="shared" si="3"/>
        <v>1</v>
      </c>
      <c r="L49" s="199">
        <f t="shared" si="4"/>
        <v>0</v>
      </c>
      <c r="M49" s="199">
        <f t="shared" si="10"/>
        <v>1</v>
      </c>
      <c r="N49" s="200">
        <f t="shared" si="5"/>
        <v>0</v>
      </c>
      <c r="O49" s="200">
        <f t="shared" si="6"/>
        <v>0</v>
      </c>
      <c r="P49" s="200">
        <f t="shared" si="7"/>
        <v>0</v>
      </c>
      <c r="Q49" s="200">
        <f t="shared" si="8"/>
        <v>0</v>
      </c>
      <c r="R49" s="242">
        <f t="shared" si="12"/>
        <v>1</v>
      </c>
      <c r="S49" s="197"/>
      <c r="T49" s="198" t="str">
        <f>IF(ISNA(VLOOKUP(D49,'One year follow-up_inperson'!$C:$C,1,FALSE)),"No","Yes")</f>
        <v>No</v>
      </c>
    </row>
    <row r="50" spans="1:20" ht="191.4" customHeight="1">
      <c r="A50" s="410">
        <v>23</v>
      </c>
      <c r="B50" s="408"/>
      <c r="C50" s="122" t="str">
        <f t="shared" si="11"/>
        <v>249</v>
      </c>
      <c r="D50" s="122">
        <v>2499</v>
      </c>
      <c r="E50" s="296" t="s">
        <v>176</v>
      </c>
      <c r="F50" s="382" t="s">
        <v>2</v>
      </c>
      <c r="G50" s="296">
        <v>38</v>
      </c>
      <c r="H50" s="296" t="s">
        <v>3</v>
      </c>
      <c r="I50" s="296" t="s">
        <v>145</v>
      </c>
      <c r="J50" s="199">
        <f t="shared" si="2"/>
        <v>0</v>
      </c>
      <c r="K50" s="199">
        <f t="shared" si="3"/>
        <v>1</v>
      </c>
      <c r="L50" s="199">
        <f t="shared" si="4"/>
        <v>0</v>
      </c>
      <c r="M50" s="199">
        <f t="shared" si="10"/>
        <v>1</v>
      </c>
      <c r="N50" s="200">
        <f t="shared" si="5"/>
        <v>0</v>
      </c>
      <c r="O50" s="200">
        <f t="shared" si="6"/>
        <v>0</v>
      </c>
      <c r="P50" s="200">
        <f t="shared" si="7"/>
        <v>0</v>
      </c>
      <c r="Q50" s="200">
        <f t="shared" si="8"/>
        <v>0</v>
      </c>
      <c r="R50" s="242">
        <f t="shared" si="12"/>
        <v>1</v>
      </c>
      <c r="S50" s="197"/>
      <c r="T50" s="198" t="str">
        <f>IF(ISNA(VLOOKUP(D50,'One year follow-up_inperson'!$C:$C,1,FALSE)),"No","Yes")</f>
        <v>No</v>
      </c>
    </row>
    <row r="51" spans="1:20" ht="191.4" customHeight="1">
      <c r="A51" s="410">
        <v>24</v>
      </c>
      <c r="B51" s="408"/>
      <c r="C51" s="122" t="str">
        <f t="shared" si="11"/>
        <v>249</v>
      </c>
      <c r="D51" s="122">
        <v>24910</v>
      </c>
      <c r="E51" s="296" t="s">
        <v>152</v>
      </c>
      <c r="F51" s="382" t="s">
        <v>2</v>
      </c>
      <c r="G51" s="296">
        <v>41</v>
      </c>
      <c r="H51" s="296" t="s">
        <v>3</v>
      </c>
      <c r="I51" s="296" t="s">
        <v>151</v>
      </c>
      <c r="J51" s="199">
        <f t="shared" si="2"/>
        <v>0</v>
      </c>
      <c r="K51" s="199">
        <f t="shared" si="3"/>
        <v>1</v>
      </c>
      <c r="L51" s="199">
        <f t="shared" si="4"/>
        <v>0</v>
      </c>
      <c r="M51" s="199">
        <f t="shared" si="10"/>
        <v>1</v>
      </c>
      <c r="N51" s="200">
        <f t="shared" si="5"/>
        <v>0</v>
      </c>
      <c r="O51" s="200">
        <f t="shared" si="6"/>
        <v>0</v>
      </c>
      <c r="P51" s="200">
        <f t="shared" si="7"/>
        <v>0</v>
      </c>
      <c r="Q51" s="200">
        <f t="shared" si="8"/>
        <v>0</v>
      </c>
      <c r="R51" s="242">
        <f t="shared" si="12"/>
        <v>1</v>
      </c>
      <c r="S51" s="197"/>
      <c r="T51" s="198" t="str">
        <f>IF(ISNA(VLOOKUP(D51,'One year follow-up_inperson'!$C:$C,1,FALSE)),"No","Yes")</f>
        <v>No</v>
      </c>
    </row>
    <row r="52" spans="1:20" ht="138">
      <c r="A52" s="410">
        <v>25</v>
      </c>
      <c r="B52" s="408"/>
      <c r="C52" s="122" t="str">
        <f t="shared" si="11"/>
        <v>249</v>
      </c>
      <c r="D52" s="122">
        <v>24911</v>
      </c>
      <c r="E52" s="296" t="s">
        <v>147</v>
      </c>
      <c r="F52" s="382" t="s">
        <v>2</v>
      </c>
      <c r="G52" s="296">
        <v>28</v>
      </c>
      <c r="H52" s="296" t="s">
        <v>3</v>
      </c>
      <c r="I52" s="296" t="s">
        <v>146</v>
      </c>
      <c r="J52" s="199">
        <f t="shared" si="2"/>
        <v>0</v>
      </c>
      <c r="K52" s="199">
        <f t="shared" si="3"/>
        <v>1</v>
      </c>
      <c r="L52" s="199">
        <f t="shared" si="4"/>
        <v>0</v>
      </c>
      <c r="M52" s="199">
        <f t="shared" si="10"/>
        <v>1</v>
      </c>
      <c r="N52" s="200">
        <f t="shared" si="5"/>
        <v>0</v>
      </c>
      <c r="O52" s="200">
        <f t="shared" si="6"/>
        <v>0</v>
      </c>
      <c r="P52" s="200">
        <f t="shared" si="7"/>
        <v>0</v>
      </c>
      <c r="Q52" s="200">
        <f t="shared" si="8"/>
        <v>0</v>
      </c>
      <c r="R52" s="242">
        <f t="shared" si="12"/>
        <v>1</v>
      </c>
      <c r="S52" s="197"/>
      <c r="T52" s="198" t="str">
        <f>IF(ISNA(VLOOKUP(D52,'One year follow-up_inperson'!$C:$C,1,FALSE)),"No","Yes")</f>
        <v>No</v>
      </c>
    </row>
    <row r="53" spans="1:20" ht="193.2">
      <c r="A53" s="410">
        <v>26</v>
      </c>
      <c r="B53" s="408"/>
      <c r="C53" s="122" t="str">
        <f t="shared" si="11"/>
        <v>249</v>
      </c>
      <c r="D53" s="122">
        <v>24912</v>
      </c>
      <c r="E53" s="296" t="s">
        <v>177</v>
      </c>
      <c r="F53" s="382" t="s">
        <v>2</v>
      </c>
      <c r="G53" s="296">
        <v>45</v>
      </c>
      <c r="H53" s="296" t="s">
        <v>3</v>
      </c>
      <c r="I53" s="296" t="s">
        <v>150</v>
      </c>
      <c r="J53" s="199">
        <f t="shared" si="2"/>
        <v>0</v>
      </c>
      <c r="K53" s="199">
        <f t="shared" si="3"/>
        <v>1</v>
      </c>
      <c r="L53" s="199">
        <f t="shared" si="4"/>
        <v>0</v>
      </c>
      <c r="M53" s="199">
        <f t="shared" si="10"/>
        <v>1</v>
      </c>
      <c r="N53" s="200">
        <f t="shared" si="5"/>
        <v>0</v>
      </c>
      <c r="O53" s="200">
        <f t="shared" si="6"/>
        <v>0</v>
      </c>
      <c r="P53" s="200">
        <f t="shared" si="7"/>
        <v>0</v>
      </c>
      <c r="Q53" s="200">
        <f t="shared" si="8"/>
        <v>0</v>
      </c>
      <c r="R53" s="242">
        <f t="shared" si="12"/>
        <v>1</v>
      </c>
      <c r="S53" s="197"/>
      <c r="T53" s="198" t="str">
        <f>IF(ISNA(VLOOKUP(D53,'One year follow-up_inperson'!$C:$C,1,FALSE)),"No","Yes")</f>
        <v>No</v>
      </c>
    </row>
    <row r="54" spans="1:20" ht="124.2">
      <c r="A54" s="410">
        <v>27</v>
      </c>
      <c r="B54" s="408"/>
      <c r="C54" s="122" t="str">
        <f t="shared" si="11"/>
        <v>249</v>
      </c>
      <c r="D54" s="122">
        <v>24914</v>
      </c>
      <c r="E54" s="296" t="s">
        <v>154</v>
      </c>
      <c r="F54" s="382" t="s">
        <v>2</v>
      </c>
      <c r="G54" s="296">
        <v>25</v>
      </c>
      <c r="H54" s="296" t="s">
        <v>3</v>
      </c>
      <c r="I54" s="296" t="s">
        <v>153</v>
      </c>
      <c r="J54" s="199">
        <f t="shared" si="2"/>
        <v>1</v>
      </c>
      <c r="K54" s="199">
        <f t="shared" si="3"/>
        <v>0</v>
      </c>
      <c r="L54" s="199">
        <f t="shared" si="4"/>
        <v>0</v>
      </c>
      <c r="M54" s="199">
        <f t="shared" si="10"/>
        <v>1</v>
      </c>
      <c r="N54" s="200">
        <f t="shared" si="5"/>
        <v>0</v>
      </c>
      <c r="O54" s="200">
        <f t="shared" si="6"/>
        <v>0</v>
      </c>
      <c r="P54" s="200">
        <f t="shared" si="7"/>
        <v>0</v>
      </c>
      <c r="Q54" s="200">
        <f t="shared" si="8"/>
        <v>0</v>
      </c>
      <c r="R54" s="242">
        <f t="shared" si="12"/>
        <v>1</v>
      </c>
      <c r="S54" s="197"/>
      <c r="T54" s="198" t="str">
        <f>IF(ISNA(VLOOKUP(D54,'One year follow-up_inperson'!$C:$C,1,FALSE)),"No","Yes")</f>
        <v>No</v>
      </c>
    </row>
    <row r="55" spans="1:20" ht="151.80000000000001">
      <c r="A55" s="410">
        <v>28</v>
      </c>
      <c r="B55" s="408"/>
      <c r="C55" s="122" t="str">
        <f t="shared" si="11"/>
        <v>249</v>
      </c>
      <c r="D55" s="122">
        <v>24915</v>
      </c>
      <c r="E55" s="296" t="s">
        <v>156</v>
      </c>
      <c r="F55" s="382" t="s">
        <v>2</v>
      </c>
      <c r="G55" s="296">
        <v>39</v>
      </c>
      <c r="H55" s="296" t="s">
        <v>3</v>
      </c>
      <c r="I55" s="296" t="s">
        <v>155</v>
      </c>
      <c r="J55" s="199">
        <f t="shared" si="2"/>
        <v>1</v>
      </c>
      <c r="K55" s="199">
        <f t="shared" si="3"/>
        <v>1</v>
      </c>
      <c r="L55" s="199">
        <f t="shared" si="4"/>
        <v>0</v>
      </c>
      <c r="M55" s="199">
        <f t="shared" si="10"/>
        <v>1</v>
      </c>
      <c r="N55" s="200">
        <f t="shared" si="5"/>
        <v>0</v>
      </c>
      <c r="O55" s="200">
        <f t="shared" si="6"/>
        <v>0</v>
      </c>
      <c r="P55" s="200">
        <f t="shared" si="7"/>
        <v>0</v>
      </c>
      <c r="Q55" s="200">
        <f t="shared" si="8"/>
        <v>0</v>
      </c>
      <c r="R55" s="242">
        <f t="shared" si="12"/>
        <v>1</v>
      </c>
      <c r="S55" s="197"/>
      <c r="T55" s="198" t="str">
        <f>IF(ISNA(VLOOKUP(D55,'One year follow-up_inperson'!$C:$C,1,FALSE)),"No","Yes")</f>
        <v>No</v>
      </c>
    </row>
    <row r="56" spans="1:20" ht="165.6">
      <c r="A56" s="410">
        <v>29</v>
      </c>
      <c r="B56" s="408"/>
      <c r="C56" s="122" t="str">
        <f t="shared" si="11"/>
        <v>249</v>
      </c>
      <c r="D56" s="122">
        <v>24916</v>
      </c>
      <c r="E56" s="296" t="s">
        <v>157</v>
      </c>
      <c r="F56" s="382" t="s">
        <v>2</v>
      </c>
      <c r="G56" s="296">
        <v>26</v>
      </c>
      <c r="H56" s="296" t="s">
        <v>3</v>
      </c>
      <c r="I56" s="296" t="s">
        <v>158</v>
      </c>
      <c r="J56" s="199">
        <f t="shared" si="2"/>
        <v>0</v>
      </c>
      <c r="K56" s="199">
        <f t="shared" si="3"/>
        <v>1</v>
      </c>
      <c r="L56" s="199">
        <f t="shared" si="4"/>
        <v>0</v>
      </c>
      <c r="M56" s="199">
        <f t="shared" si="10"/>
        <v>1</v>
      </c>
      <c r="N56" s="200">
        <f t="shared" si="5"/>
        <v>0</v>
      </c>
      <c r="O56" s="200">
        <f t="shared" si="6"/>
        <v>0</v>
      </c>
      <c r="P56" s="200">
        <f t="shared" si="7"/>
        <v>0</v>
      </c>
      <c r="Q56" s="200">
        <f t="shared" si="8"/>
        <v>0</v>
      </c>
      <c r="R56" s="242">
        <f t="shared" si="12"/>
        <v>1</v>
      </c>
      <c r="S56" s="197"/>
      <c r="T56" s="198" t="str">
        <f>IF(ISNA(VLOOKUP(D56,'One year follow-up_inperson'!$C:$C,1,FALSE)),"No","Yes")</f>
        <v>No</v>
      </c>
    </row>
    <row r="57" spans="1:20" ht="180" customHeight="1">
      <c r="A57" s="410">
        <v>30</v>
      </c>
      <c r="B57" s="408"/>
      <c r="C57" s="122" t="str">
        <f t="shared" si="11"/>
        <v>249</v>
      </c>
      <c r="D57" s="122">
        <v>24918</v>
      </c>
      <c r="E57" s="296" t="s">
        <v>178</v>
      </c>
      <c r="F57" s="382" t="s">
        <v>2</v>
      </c>
      <c r="G57" s="296">
        <v>28</v>
      </c>
      <c r="H57" s="296" t="s">
        <v>3</v>
      </c>
      <c r="I57" s="296" t="s">
        <v>159</v>
      </c>
      <c r="J57" s="199">
        <f t="shared" si="2"/>
        <v>1</v>
      </c>
      <c r="K57" s="199">
        <f t="shared" si="3"/>
        <v>1</v>
      </c>
      <c r="L57" s="199">
        <f t="shared" si="4"/>
        <v>0</v>
      </c>
      <c r="M57" s="199">
        <f t="shared" si="10"/>
        <v>1</v>
      </c>
      <c r="N57" s="200">
        <f t="shared" si="5"/>
        <v>0</v>
      </c>
      <c r="O57" s="200">
        <f t="shared" si="6"/>
        <v>0</v>
      </c>
      <c r="P57" s="200">
        <f t="shared" si="7"/>
        <v>0</v>
      </c>
      <c r="Q57" s="200">
        <f t="shared" si="8"/>
        <v>0</v>
      </c>
      <c r="R57" s="242">
        <f t="shared" si="12"/>
        <v>1</v>
      </c>
      <c r="S57" s="197"/>
      <c r="T57" s="198" t="str">
        <f>IF(ISNA(VLOOKUP(D57,'One year follow-up_inperson'!$C:$C,1,FALSE)),"No","Yes")</f>
        <v>No</v>
      </c>
    </row>
    <row r="58" spans="1:20" ht="240.6" customHeight="1">
      <c r="A58" s="410">
        <v>31</v>
      </c>
      <c r="B58" s="408"/>
      <c r="C58" s="122" t="str">
        <f t="shared" si="11"/>
        <v>249</v>
      </c>
      <c r="D58" s="122">
        <v>24920</v>
      </c>
      <c r="E58" s="296" t="s">
        <v>160</v>
      </c>
      <c r="F58" s="382" t="s">
        <v>2</v>
      </c>
      <c r="G58" s="296">
        <v>25</v>
      </c>
      <c r="H58" s="296" t="s">
        <v>3</v>
      </c>
      <c r="I58" s="296" t="s">
        <v>464</v>
      </c>
      <c r="J58" s="199">
        <f t="shared" si="2"/>
        <v>0</v>
      </c>
      <c r="K58" s="199">
        <f t="shared" si="3"/>
        <v>1</v>
      </c>
      <c r="L58" s="199">
        <f t="shared" si="4"/>
        <v>0</v>
      </c>
      <c r="M58" s="199">
        <f t="shared" si="10"/>
        <v>1</v>
      </c>
      <c r="N58" s="200">
        <f t="shared" si="5"/>
        <v>0</v>
      </c>
      <c r="O58" s="200">
        <f t="shared" si="6"/>
        <v>0</v>
      </c>
      <c r="P58" s="200">
        <f t="shared" si="7"/>
        <v>0</v>
      </c>
      <c r="Q58" s="200">
        <f t="shared" si="8"/>
        <v>1</v>
      </c>
      <c r="R58" s="242">
        <f t="shared" si="12"/>
        <v>1</v>
      </c>
      <c r="S58" s="197"/>
      <c r="T58" s="198" t="str">
        <f>IF(ISNA(VLOOKUP(D58,'One year follow-up_inperson'!$C:$C,1,FALSE)),"No","Yes")</f>
        <v>No</v>
      </c>
    </row>
    <row r="59" spans="1:20" ht="161.4" customHeight="1">
      <c r="A59" s="410">
        <v>32</v>
      </c>
      <c r="B59" s="408"/>
      <c r="C59" s="122" t="str">
        <f t="shared" si="11"/>
        <v>249</v>
      </c>
      <c r="D59" s="122">
        <v>24921</v>
      </c>
      <c r="E59" s="296" t="s">
        <v>179</v>
      </c>
      <c r="F59" s="382" t="s">
        <v>2</v>
      </c>
      <c r="G59" s="296">
        <v>30</v>
      </c>
      <c r="H59" s="296" t="s">
        <v>3</v>
      </c>
      <c r="I59" s="296" t="s">
        <v>408</v>
      </c>
      <c r="J59" s="199">
        <f t="shared" si="2"/>
        <v>1</v>
      </c>
      <c r="K59" s="199">
        <f t="shared" si="3"/>
        <v>0</v>
      </c>
      <c r="L59" s="199">
        <f t="shared" si="4"/>
        <v>0</v>
      </c>
      <c r="M59" s="199">
        <f t="shared" si="10"/>
        <v>1</v>
      </c>
      <c r="N59" s="200">
        <f t="shared" si="5"/>
        <v>0</v>
      </c>
      <c r="O59" s="200">
        <f t="shared" si="6"/>
        <v>0</v>
      </c>
      <c r="P59" s="200">
        <f t="shared" si="7"/>
        <v>0</v>
      </c>
      <c r="Q59" s="200">
        <f t="shared" si="8"/>
        <v>0</v>
      </c>
      <c r="R59" s="242">
        <f t="shared" si="12"/>
        <v>1</v>
      </c>
      <c r="S59" s="197"/>
      <c r="T59" s="198" t="str">
        <f>IF(ISNA(VLOOKUP(D59,'One year follow-up_inperson'!$C:$C,1,FALSE)),"No","Yes")</f>
        <v>No</v>
      </c>
    </row>
    <row r="60" spans="1:20" ht="231.6" customHeight="1">
      <c r="A60" s="410">
        <v>33</v>
      </c>
      <c r="B60" s="408"/>
      <c r="C60" s="122" t="str">
        <f t="shared" si="11"/>
        <v>249</v>
      </c>
      <c r="D60" s="122">
        <v>24922</v>
      </c>
      <c r="E60" s="296" t="s">
        <v>180</v>
      </c>
      <c r="F60" s="382" t="s">
        <v>2</v>
      </c>
      <c r="G60" s="296">
        <v>42</v>
      </c>
      <c r="H60" s="296" t="s">
        <v>3</v>
      </c>
      <c r="I60" s="296" t="s">
        <v>409</v>
      </c>
      <c r="J60" s="199">
        <f t="shared" ref="J60:J91" si="13">IF(OR(ISNUMBER(SEARCH("confidence",I60))=TRUE,ISNUMBER(SEARCH("hope for the future",I60))=TRUE,ISNUMBER(SEARCH("communicate",I60))=TRUE,ISNUMBER(SEARCH("worthy",I60))=TRUE,ISNUMBER(SEARCH("thought",I60))=TRUE,ISNUMBER(SEARCH("open",I60))=TRUE,ISNUMBER(SEARCH("believe",I60))=TRUE,ISNUMBER(SEARCH("confident",I60))=TRUE,ISNUMBER(SEARCH("empower",I60))=TRUE),1,0)</f>
        <v>0</v>
      </c>
      <c r="K60" s="199">
        <f t="shared" ref="K60:K92" si="14">IF(OR(ISNUMBER(SEARCH("decision",I60))=TRUE,ISNUMBER(SEARCH("save",I60))=TRUE,ISNUMBER(SEARCH("saving",I60))=TRUE,ISNUMBER(SEARCH("started",I60))=TRUE,ISNUMBER(SEARCH("buy",I60))=TRUE,ISNUMBER(SEARCH("bought",I60))=TRUE),1,0)</f>
        <v>0</v>
      </c>
      <c r="L60" s="199">
        <f t="shared" ref="L60:L92" si="15">IF(OR(ISNUMBER(SEARCH("active",I60))=TRUE,ISNUMBER(SEARCH("proactive",I60))=TRUE,ISNUMBER(SEARCH("face challenge",I60))=TRUE),1,0)</f>
        <v>1</v>
      </c>
      <c r="M60" s="199">
        <f t="shared" si="10"/>
        <v>1</v>
      </c>
      <c r="N60" s="200">
        <f t="shared" ref="N60:N92" si="16">IF(OR(ISNUMBER(SEARCH("started a business",I60))=TRUE,ISNUMBER(SEARCH("started an income generating activity",I60))=TRUE),1,0)</f>
        <v>0</v>
      </c>
      <c r="O60" s="200">
        <f t="shared" ref="O60:O92" si="17">IF(OR(ISNUMBER(SEARCH("got a job",I60))=TRUE,ISNUMBER(SEARCH("got an internship",I60))=TRUE,ISNUMBER(SEARCH("got a promotion",I60))=TRUE),1,0)</f>
        <v>0</v>
      </c>
      <c r="P60" s="200">
        <f t="shared" si="7"/>
        <v>0</v>
      </c>
      <c r="Q60" s="200">
        <f t="shared" si="8"/>
        <v>0</v>
      </c>
      <c r="R60" s="242">
        <f t="shared" si="12"/>
        <v>1</v>
      </c>
      <c r="S60" s="197"/>
      <c r="T60" s="198" t="str">
        <f>IF(ISNA(VLOOKUP(D60,'One year follow-up_inperson'!$C:$C,1,FALSE)),"No","Yes")</f>
        <v>No</v>
      </c>
    </row>
    <row r="61" spans="1:20" ht="207">
      <c r="A61" s="410">
        <v>34</v>
      </c>
      <c r="B61" s="408"/>
      <c r="C61" s="122" t="str">
        <f t="shared" si="11"/>
        <v>249</v>
      </c>
      <c r="D61" s="122">
        <v>24924</v>
      </c>
      <c r="E61" s="296" t="s">
        <v>162</v>
      </c>
      <c r="F61" s="382" t="s">
        <v>2</v>
      </c>
      <c r="G61" s="296">
        <v>49</v>
      </c>
      <c r="H61" s="296" t="s">
        <v>3</v>
      </c>
      <c r="I61" s="296" t="s">
        <v>161</v>
      </c>
      <c r="J61" s="199">
        <f t="shared" si="13"/>
        <v>1</v>
      </c>
      <c r="K61" s="199">
        <f t="shared" si="14"/>
        <v>1</v>
      </c>
      <c r="L61" s="199">
        <f t="shared" si="15"/>
        <v>0</v>
      </c>
      <c r="M61" s="199">
        <f t="shared" si="10"/>
        <v>1</v>
      </c>
      <c r="N61" s="200">
        <f t="shared" si="16"/>
        <v>0</v>
      </c>
      <c r="O61" s="200">
        <f t="shared" si="17"/>
        <v>0</v>
      </c>
      <c r="P61" s="200">
        <f t="shared" si="7"/>
        <v>0</v>
      </c>
      <c r="Q61" s="200">
        <f t="shared" si="8"/>
        <v>0</v>
      </c>
      <c r="R61" s="242">
        <f t="shared" si="12"/>
        <v>1</v>
      </c>
      <c r="S61" s="197"/>
      <c r="T61" s="198" t="str">
        <f>IF(ISNA(VLOOKUP(D61,'One year follow-up_inperson'!$C:$C,1,FALSE)),"No","Yes")</f>
        <v>No</v>
      </c>
    </row>
    <row r="62" spans="1:20" ht="128.4" customHeight="1">
      <c r="A62" s="410">
        <v>35</v>
      </c>
      <c r="B62" s="408"/>
      <c r="C62" s="122" t="str">
        <f t="shared" si="11"/>
        <v>249</v>
      </c>
      <c r="D62" s="122">
        <v>24925</v>
      </c>
      <c r="E62" s="296" t="s">
        <v>181</v>
      </c>
      <c r="F62" s="382" t="s">
        <v>2</v>
      </c>
      <c r="G62" s="296">
        <v>23</v>
      </c>
      <c r="H62" s="296" t="s">
        <v>3</v>
      </c>
      <c r="I62" s="296" t="s">
        <v>163</v>
      </c>
      <c r="J62" s="199">
        <f t="shared" si="13"/>
        <v>1</v>
      </c>
      <c r="K62" s="199">
        <f t="shared" si="14"/>
        <v>1</v>
      </c>
      <c r="L62" s="199">
        <f t="shared" si="15"/>
        <v>0</v>
      </c>
      <c r="M62" s="199">
        <f t="shared" si="10"/>
        <v>1</v>
      </c>
      <c r="N62" s="200">
        <f t="shared" si="16"/>
        <v>0</v>
      </c>
      <c r="O62" s="200">
        <f t="shared" si="17"/>
        <v>0</v>
      </c>
      <c r="P62" s="200">
        <f t="shared" si="7"/>
        <v>0</v>
      </c>
      <c r="Q62" s="200">
        <f t="shared" si="8"/>
        <v>0</v>
      </c>
      <c r="R62" s="242">
        <f t="shared" si="12"/>
        <v>1</v>
      </c>
      <c r="S62" s="197"/>
      <c r="T62" s="198" t="str">
        <f>IF(ISNA(VLOOKUP(D62,'One year follow-up_inperson'!$C:$C,1,FALSE)),"No","Yes")</f>
        <v>No</v>
      </c>
    </row>
    <row r="63" spans="1:20" ht="143.4" customHeight="1">
      <c r="A63" s="410">
        <v>36</v>
      </c>
      <c r="B63" s="408"/>
      <c r="C63" s="122" t="str">
        <f t="shared" si="11"/>
        <v>249</v>
      </c>
      <c r="D63" s="122">
        <v>24929</v>
      </c>
      <c r="E63" s="296" t="s">
        <v>165</v>
      </c>
      <c r="F63" s="382" t="s">
        <v>2</v>
      </c>
      <c r="G63" s="296">
        <v>28</v>
      </c>
      <c r="H63" s="296" t="s">
        <v>3</v>
      </c>
      <c r="I63" s="296" t="s">
        <v>164</v>
      </c>
      <c r="J63" s="199">
        <f t="shared" si="13"/>
        <v>0</v>
      </c>
      <c r="K63" s="199">
        <f t="shared" si="14"/>
        <v>1</v>
      </c>
      <c r="L63" s="199">
        <f t="shared" si="15"/>
        <v>0</v>
      </c>
      <c r="M63" s="199">
        <f t="shared" si="10"/>
        <v>1</v>
      </c>
      <c r="N63" s="200">
        <f t="shared" si="16"/>
        <v>0</v>
      </c>
      <c r="O63" s="200">
        <f t="shared" si="17"/>
        <v>0</v>
      </c>
      <c r="P63" s="200">
        <f t="shared" si="7"/>
        <v>0</v>
      </c>
      <c r="Q63" s="200">
        <f t="shared" si="8"/>
        <v>0</v>
      </c>
      <c r="R63" s="242">
        <f t="shared" si="12"/>
        <v>1</v>
      </c>
      <c r="S63" s="197"/>
      <c r="T63" s="198" t="str">
        <f>IF(ISNA(VLOOKUP(D63,'One year follow-up_inperson'!$C:$C,1,FALSE)),"No","Yes")</f>
        <v>No</v>
      </c>
    </row>
    <row r="64" spans="1:20" ht="151.80000000000001">
      <c r="A64" s="410">
        <v>37</v>
      </c>
      <c r="B64" s="408"/>
      <c r="C64" s="122" t="str">
        <f t="shared" si="11"/>
        <v>249</v>
      </c>
      <c r="D64" s="122">
        <v>24932</v>
      </c>
      <c r="E64" s="296" t="s">
        <v>167</v>
      </c>
      <c r="F64" s="382" t="s">
        <v>2</v>
      </c>
      <c r="G64" s="296">
        <v>48</v>
      </c>
      <c r="H64" s="296" t="s">
        <v>3</v>
      </c>
      <c r="I64" s="296" t="s">
        <v>166</v>
      </c>
      <c r="J64" s="199">
        <f t="shared" si="13"/>
        <v>1</v>
      </c>
      <c r="K64" s="199">
        <f t="shared" si="14"/>
        <v>0</v>
      </c>
      <c r="L64" s="199">
        <f t="shared" si="15"/>
        <v>0</v>
      </c>
      <c r="M64" s="199">
        <f t="shared" si="10"/>
        <v>1</v>
      </c>
      <c r="N64" s="200">
        <f t="shared" si="16"/>
        <v>0</v>
      </c>
      <c r="O64" s="200">
        <f t="shared" si="17"/>
        <v>0</v>
      </c>
      <c r="P64" s="200">
        <f t="shared" si="7"/>
        <v>0</v>
      </c>
      <c r="Q64" s="200">
        <f t="shared" si="8"/>
        <v>0</v>
      </c>
      <c r="R64" s="242">
        <f t="shared" si="12"/>
        <v>1</v>
      </c>
      <c r="S64" s="197"/>
      <c r="T64" s="198" t="str">
        <f>IF(ISNA(VLOOKUP(D64,'One year follow-up_inperson'!$C:$C,1,FALSE)),"No","Yes")</f>
        <v>No</v>
      </c>
    </row>
    <row r="65" spans="1:20" ht="96.6">
      <c r="A65" s="410">
        <v>38</v>
      </c>
      <c r="B65" s="408"/>
      <c r="C65" s="122" t="str">
        <f t="shared" si="11"/>
        <v>250</v>
      </c>
      <c r="D65" s="122">
        <v>2501</v>
      </c>
      <c r="E65" s="296" t="s">
        <v>182</v>
      </c>
      <c r="F65" s="382" t="s">
        <v>2</v>
      </c>
      <c r="G65" s="296">
        <v>39</v>
      </c>
      <c r="H65" s="296" t="s">
        <v>3</v>
      </c>
      <c r="I65" s="296" t="s">
        <v>168</v>
      </c>
      <c r="J65" s="199">
        <f t="shared" si="13"/>
        <v>0</v>
      </c>
      <c r="K65" s="199">
        <f t="shared" si="14"/>
        <v>1</v>
      </c>
      <c r="L65" s="199">
        <f t="shared" si="15"/>
        <v>0</v>
      </c>
      <c r="M65" s="199">
        <f t="shared" si="10"/>
        <v>1</v>
      </c>
      <c r="N65" s="200">
        <f t="shared" si="16"/>
        <v>0</v>
      </c>
      <c r="O65" s="200">
        <f t="shared" si="17"/>
        <v>0</v>
      </c>
      <c r="P65" s="200">
        <f t="shared" si="7"/>
        <v>0</v>
      </c>
      <c r="Q65" s="200">
        <f t="shared" si="8"/>
        <v>0</v>
      </c>
      <c r="R65" s="242">
        <f t="shared" si="12"/>
        <v>1</v>
      </c>
      <c r="S65" s="197"/>
      <c r="T65" s="198" t="str">
        <f>IF(ISNA(VLOOKUP(D65,'One year follow-up_inperson'!$C:$C,1,FALSE)),"No","Yes")</f>
        <v>No</v>
      </c>
    </row>
    <row r="66" spans="1:20" ht="165.6">
      <c r="A66" s="410">
        <v>39</v>
      </c>
      <c r="B66" s="408"/>
      <c r="C66" s="122" t="str">
        <f t="shared" ref="C66:C147" si="18">LEFT(D66,3)</f>
        <v>250</v>
      </c>
      <c r="D66" s="122">
        <v>2502</v>
      </c>
      <c r="E66" s="296" t="s">
        <v>183</v>
      </c>
      <c r="F66" s="382" t="s">
        <v>2</v>
      </c>
      <c r="G66" s="296">
        <v>44</v>
      </c>
      <c r="H66" s="296" t="s">
        <v>3</v>
      </c>
      <c r="I66" s="296" t="s">
        <v>224</v>
      </c>
      <c r="J66" s="199">
        <f t="shared" si="13"/>
        <v>1</v>
      </c>
      <c r="K66" s="199">
        <f t="shared" si="14"/>
        <v>0</v>
      </c>
      <c r="L66" s="199">
        <f t="shared" si="15"/>
        <v>0</v>
      </c>
      <c r="M66" s="199">
        <f t="shared" si="10"/>
        <v>1</v>
      </c>
      <c r="N66" s="200">
        <f t="shared" si="16"/>
        <v>0</v>
      </c>
      <c r="O66" s="200">
        <f t="shared" si="17"/>
        <v>0</v>
      </c>
      <c r="P66" s="200">
        <f t="shared" si="7"/>
        <v>0</v>
      </c>
      <c r="Q66" s="200">
        <f t="shared" si="8"/>
        <v>0</v>
      </c>
      <c r="R66" s="242">
        <f t="shared" si="12"/>
        <v>1</v>
      </c>
      <c r="S66" s="197"/>
      <c r="T66" s="198" t="str">
        <f>IF(ISNA(VLOOKUP(D66,'One year follow-up_inperson'!$C:$C,1,FALSE)),"No","Yes")</f>
        <v>No</v>
      </c>
    </row>
    <row r="67" spans="1:20" ht="138">
      <c r="A67" s="410">
        <v>40</v>
      </c>
      <c r="B67" s="408"/>
      <c r="C67" s="122" t="str">
        <f t="shared" si="18"/>
        <v>250</v>
      </c>
      <c r="D67" s="122">
        <v>2504</v>
      </c>
      <c r="E67" s="296" t="s">
        <v>184</v>
      </c>
      <c r="F67" s="382" t="s">
        <v>2</v>
      </c>
      <c r="G67" s="296">
        <v>33</v>
      </c>
      <c r="H67" s="296" t="s">
        <v>3</v>
      </c>
      <c r="I67" s="296" t="s">
        <v>410</v>
      </c>
      <c r="J67" s="199">
        <f t="shared" si="13"/>
        <v>0</v>
      </c>
      <c r="K67" s="199">
        <f t="shared" si="14"/>
        <v>0</v>
      </c>
      <c r="L67" s="199">
        <f t="shared" si="15"/>
        <v>1</v>
      </c>
      <c r="M67" s="199">
        <f t="shared" si="10"/>
        <v>1</v>
      </c>
      <c r="N67" s="200">
        <f t="shared" si="16"/>
        <v>0</v>
      </c>
      <c r="O67" s="200">
        <f t="shared" si="17"/>
        <v>0</v>
      </c>
      <c r="P67" s="200">
        <f t="shared" si="7"/>
        <v>0</v>
      </c>
      <c r="Q67" s="200">
        <f t="shared" si="8"/>
        <v>0</v>
      </c>
      <c r="R67" s="242">
        <f t="shared" si="12"/>
        <v>1</v>
      </c>
      <c r="S67" s="197"/>
      <c r="T67" s="198" t="str">
        <f>IF(ISNA(VLOOKUP(D67,'One year follow-up_inperson'!$C:$C,1,FALSE)),"No","Yes")</f>
        <v>No</v>
      </c>
    </row>
    <row r="68" spans="1:20" ht="128.4" customHeight="1">
      <c r="A68" s="410">
        <v>41</v>
      </c>
      <c r="B68" s="408"/>
      <c r="C68" s="122" t="str">
        <f t="shared" si="18"/>
        <v>250</v>
      </c>
      <c r="D68" s="122">
        <v>2506</v>
      </c>
      <c r="E68" s="296" t="s">
        <v>185</v>
      </c>
      <c r="F68" s="382" t="s">
        <v>2</v>
      </c>
      <c r="G68" s="296">
        <v>32</v>
      </c>
      <c r="H68" s="296" t="s">
        <v>3</v>
      </c>
      <c r="I68" s="296" t="s">
        <v>225</v>
      </c>
      <c r="J68" s="199">
        <f t="shared" si="13"/>
        <v>1</v>
      </c>
      <c r="K68" s="199">
        <f t="shared" si="14"/>
        <v>1</v>
      </c>
      <c r="L68" s="199">
        <f t="shared" si="15"/>
        <v>0</v>
      </c>
      <c r="M68" s="199">
        <f t="shared" si="10"/>
        <v>1</v>
      </c>
      <c r="N68" s="200">
        <f t="shared" si="16"/>
        <v>0</v>
      </c>
      <c r="O68" s="200">
        <f t="shared" si="17"/>
        <v>0</v>
      </c>
      <c r="P68" s="200">
        <f t="shared" si="7"/>
        <v>0</v>
      </c>
      <c r="Q68" s="200">
        <f t="shared" si="8"/>
        <v>0</v>
      </c>
      <c r="R68" s="242">
        <f t="shared" si="12"/>
        <v>1</v>
      </c>
      <c r="S68" s="197"/>
      <c r="T68" s="198" t="str">
        <f>IF(ISNA(VLOOKUP(D68,'One year follow-up_inperson'!$C:$C,1,FALSE)),"No","Yes")</f>
        <v>No</v>
      </c>
    </row>
    <row r="69" spans="1:20" ht="124.2">
      <c r="A69" s="410">
        <v>42</v>
      </c>
      <c r="B69" s="408"/>
      <c r="C69" s="122" t="str">
        <f t="shared" si="18"/>
        <v>250</v>
      </c>
      <c r="D69" s="122">
        <v>2507</v>
      </c>
      <c r="E69" s="296" t="s">
        <v>186</v>
      </c>
      <c r="F69" s="382" t="s">
        <v>2</v>
      </c>
      <c r="G69" s="296">
        <v>40</v>
      </c>
      <c r="H69" s="296" t="s">
        <v>3</v>
      </c>
      <c r="I69" s="296" t="s">
        <v>226</v>
      </c>
      <c r="J69" s="199">
        <f t="shared" si="13"/>
        <v>0</v>
      </c>
      <c r="K69" s="199">
        <f t="shared" si="14"/>
        <v>1</v>
      </c>
      <c r="L69" s="199">
        <f t="shared" si="15"/>
        <v>0</v>
      </c>
      <c r="M69" s="199">
        <f t="shared" si="10"/>
        <v>1</v>
      </c>
      <c r="N69" s="200">
        <f t="shared" si="16"/>
        <v>0</v>
      </c>
      <c r="O69" s="200">
        <f t="shared" si="17"/>
        <v>0</v>
      </c>
      <c r="P69" s="200">
        <f t="shared" si="7"/>
        <v>0</v>
      </c>
      <c r="Q69" s="200">
        <f t="shared" si="8"/>
        <v>0</v>
      </c>
      <c r="R69" s="242">
        <f t="shared" si="12"/>
        <v>1</v>
      </c>
      <c r="S69" s="197"/>
      <c r="T69" s="198" t="str">
        <f>IF(ISNA(VLOOKUP(D69,'One year follow-up_inperson'!$C:$C,1,FALSE)),"No","Yes")</f>
        <v>No</v>
      </c>
    </row>
    <row r="70" spans="1:20" ht="138.6" customHeight="1">
      <c r="A70" s="410">
        <v>43</v>
      </c>
      <c r="B70" s="408"/>
      <c r="C70" s="122" t="str">
        <f t="shared" si="18"/>
        <v>250</v>
      </c>
      <c r="D70" s="122">
        <v>2509</v>
      </c>
      <c r="E70" s="296" t="s">
        <v>187</v>
      </c>
      <c r="F70" s="382" t="s">
        <v>2</v>
      </c>
      <c r="G70" s="296">
        <v>37</v>
      </c>
      <c r="H70" s="296" t="s">
        <v>3</v>
      </c>
      <c r="I70" s="296" t="s">
        <v>411</v>
      </c>
      <c r="J70" s="199">
        <f t="shared" si="13"/>
        <v>0</v>
      </c>
      <c r="K70" s="199">
        <f t="shared" si="14"/>
        <v>0</v>
      </c>
      <c r="L70" s="199">
        <f t="shared" si="15"/>
        <v>1</v>
      </c>
      <c r="M70" s="199">
        <f t="shared" si="10"/>
        <v>1</v>
      </c>
      <c r="N70" s="200">
        <f t="shared" si="16"/>
        <v>0</v>
      </c>
      <c r="O70" s="200">
        <f t="shared" si="17"/>
        <v>0</v>
      </c>
      <c r="P70" s="200">
        <f t="shared" si="7"/>
        <v>0</v>
      </c>
      <c r="Q70" s="200">
        <f t="shared" si="8"/>
        <v>0</v>
      </c>
      <c r="R70" s="242">
        <f t="shared" si="12"/>
        <v>1</v>
      </c>
      <c r="S70" s="197"/>
      <c r="T70" s="198" t="str">
        <f>IF(ISNA(VLOOKUP(D70,'One year follow-up_inperson'!$C:$C,1,FALSE)),"No","Yes")</f>
        <v>No</v>
      </c>
    </row>
    <row r="71" spans="1:20" ht="218.4" customHeight="1">
      <c r="A71" s="410">
        <v>44</v>
      </c>
      <c r="B71" s="408"/>
      <c r="C71" s="122" t="str">
        <f t="shared" si="18"/>
        <v>250</v>
      </c>
      <c r="D71" s="122">
        <v>25010</v>
      </c>
      <c r="E71" s="296" t="s">
        <v>188</v>
      </c>
      <c r="F71" s="382" t="s">
        <v>2</v>
      </c>
      <c r="G71" s="296">
        <v>45</v>
      </c>
      <c r="H71" s="296" t="s">
        <v>3</v>
      </c>
      <c r="I71" s="296" t="s">
        <v>227</v>
      </c>
      <c r="J71" s="199">
        <f t="shared" si="13"/>
        <v>0</v>
      </c>
      <c r="K71" s="199">
        <f t="shared" si="14"/>
        <v>1</v>
      </c>
      <c r="L71" s="199">
        <f t="shared" si="15"/>
        <v>0</v>
      </c>
      <c r="M71" s="199">
        <f t="shared" si="10"/>
        <v>1</v>
      </c>
      <c r="N71" s="200">
        <f t="shared" si="16"/>
        <v>0</v>
      </c>
      <c r="O71" s="200">
        <f t="shared" si="17"/>
        <v>0</v>
      </c>
      <c r="P71" s="200">
        <f t="shared" si="7"/>
        <v>0</v>
      </c>
      <c r="Q71" s="200">
        <f t="shared" si="8"/>
        <v>0</v>
      </c>
      <c r="R71" s="242">
        <f t="shared" si="12"/>
        <v>1</v>
      </c>
      <c r="S71" s="197"/>
      <c r="T71" s="198" t="str">
        <f>IF(ISNA(VLOOKUP(D71,'One year follow-up_inperson'!$C:$C,1,FALSE)),"No","Yes")</f>
        <v>No</v>
      </c>
    </row>
    <row r="72" spans="1:20" ht="138">
      <c r="A72" s="410">
        <v>45</v>
      </c>
      <c r="B72" s="408"/>
      <c r="C72" s="122" t="str">
        <f t="shared" si="18"/>
        <v>250</v>
      </c>
      <c r="D72" s="122">
        <v>25011</v>
      </c>
      <c r="E72" s="296" t="s">
        <v>189</v>
      </c>
      <c r="F72" s="382" t="s">
        <v>2</v>
      </c>
      <c r="G72" s="296">
        <v>29</v>
      </c>
      <c r="H72" s="296" t="s">
        <v>3</v>
      </c>
      <c r="I72" s="296" t="s">
        <v>228</v>
      </c>
      <c r="J72" s="199">
        <f t="shared" si="13"/>
        <v>1</v>
      </c>
      <c r="K72" s="199">
        <f t="shared" si="14"/>
        <v>1</v>
      </c>
      <c r="L72" s="199">
        <f t="shared" si="15"/>
        <v>0</v>
      </c>
      <c r="M72" s="199">
        <f t="shared" si="10"/>
        <v>1</v>
      </c>
      <c r="N72" s="200">
        <f t="shared" si="16"/>
        <v>0</v>
      </c>
      <c r="O72" s="200">
        <f t="shared" si="17"/>
        <v>0</v>
      </c>
      <c r="P72" s="200">
        <f t="shared" si="7"/>
        <v>0</v>
      </c>
      <c r="Q72" s="200">
        <f t="shared" si="8"/>
        <v>0</v>
      </c>
      <c r="R72" s="242">
        <f t="shared" si="12"/>
        <v>1</v>
      </c>
      <c r="S72" s="197"/>
      <c r="T72" s="198" t="str">
        <f>IF(ISNA(VLOOKUP(D72,'One year follow-up_inperson'!$C:$C,1,FALSE)),"No","Yes")</f>
        <v>No</v>
      </c>
    </row>
    <row r="73" spans="1:20" ht="126.6" customHeight="1">
      <c r="A73" s="410">
        <v>46</v>
      </c>
      <c r="B73" s="408"/>
      <c r="C73" s="122" t="str">
        <f t="shared" si="18"/>
        <v>250</v>
      </c>
      <c r="D73" s="122">
        <v>25012</v>
      </c>
      <c r="E73" s="296" t="s">
        <v>190</v>
      </c>
      <c r="F73" s="382" t="s">
        <v>2</v>
      </c>
      <c r="G73" s="296">
        <v>28</v>
      </c>
      <c r="H73" s="296" t="s">
        <v>3</v>
      </c>
      <c r="I73" s="296" t="s">
        <v>412</v>
      </c>
      <c r="J73" s="199">
        <f t="shared" si="13"/>
        <v>0</v>
      </c>
      <c r="K73" s="199">
        <f t="shared" si="14"/>
        <v>0</v>
      </c>
      <c r="L73" s="199">
        <f t="shared" si="15"/>
        <v>1</v>
      </c>
      <c r="M73" s="199">
        <f t="shared" si="10"/>
        <v>1</v>
      </c>
      <c r="N73" s="200">
        <f t="shared" si="16"/>
        <v>0</v>
      </c>
      <c r="O73" s="200">
        <f t="shared" si="17"/>
        <v>0</v>
      </c>
      <c r="P73" s="200">
        <f t="shared" si="7"/>
        <v>0</v>
      </c>
      <c r="Q73" s="200">
        <f t="shared" si="8"/>
        <v>0</v>
      </c>
      <c r="R73" s="242">
        <f t="shared" si="12"/>
        <v>1</v>
      </c>
      <c r="S73" s="197"/>
      <c r="T73" s="198" t="str">
        <f>IF(ISNA(VLOOKUP(D73,'One year follow-up_inperson'!$C:$C,1,FALSE)),"No","Yes")</f>
        <v>No</v>
      </c>
    </row>
    <row r="74" spans="1:20" ht="114.6" customHeight="1">
      <c r="A74" s="410">
        <v>47</v>
      </c>
      <c r="B74" s="408"/>
      <c r="C74" s="122" t="str">
        <f t="shared" si="18"/>
        <v>250</v>
      </c>
      <c r="D74" s="122">
        <v>25013</v>
      </c>
      <c r="E74" s="296" t="s">
        <v>191</v>
      </c>
      <c r="F74" s="382" t="s">
        <v>2</v>
      </c>
      <c r="G74" s="296">
        <v>40</v>
      </c>
      <c r="H74" s="296" t="s">
        <v>3</v>
      </c>
      <c r="I74" s="296" t="s">
        <v>229</v>
      </c>
      <c r="J74" s="199">
        <f t="shared" si="13"/>
        <v>0</v>
      </c>
      <c r="K74" s="199">
        <f t="shared" si="14"/>
        <v>1</v>
      </c>
      <c r="L74" s="199">
        <f t="shared" si="15"/>
        <v>0</v>
      </c>
      <c r="M74" s="199">
        <f t="shared" si="10"/>
        <v>1</v>
      </c>
      <c r="N74" s="200">
        <f t="shared" si="16"/>
        <v>0</v>
      </c>
      <c r="O74" s="200">
        <f t="shared" si="17"/>
        <v>0</v>
      </c>
      <c r="P74" s="200">
        <f t="shared" si="7"/>
        <v>0</v>
      </c>
      <c r="Q74" s="200">
        <f t="shared" si="8"/>
        <v>0</v>
      </c>
      <c r="R74" s="242">
        <f t="shared" si="12"/>
        <v>1</v>
      </c>
      <c r="S74" s="197"/>
      <c r="T74" s="198" t="str">
        <f>IF(ISNA(VLOOKUP(D74,'One year follow-up_inperson'!$C:$C,1,FALSE)),"No","Yes")</f>
        <v>No</v>
      </c>
    </row>
    <row r="75" spans="1:20" ht="140.4" customHeight="1">
      <c r="A75" s="410">
        <v>48</v>
      </c>
      <c r="B75" s="408"/>
      <c r="C75" s="122" t="str">
        <f t="shared" si="18"/>
        <v>250</v>
      </c>
      <c r="D75" s="122">
        <v>25014</v>
      </c>
      <c r="E75" s="296" t="s">
        <v>192</v>
      </c>
      <c r="F75" s="382" t="s">
        <v>2</v>
      </c>
      <c r="G75" s="296">
        <v>26</v>
      </c>
      <c r="H75" s="296" t="s">
        <v>3</v>
      </c>
      <c r="I75" s="296" t="s">
        <v>230</v>
      </c>
      <c r="J75" s="199">
        <f t="shared" si="13"/>
        <v>0</v>
      </c>
      <c r="K75" s="199">
        <f t="shared" si="14"/>
        <v>1</v>
      </c>
      <c r="L75" s="199">
        <f t="shared" si="15"/>
        <v>0</v>
      </c>
      <c r="M75" s="199">
        <f t="shared" si="10"/>
        <v>1</v>
      </c>
      <c r="N75" s="200">
        <f t="shared" si="16"/>
        <v>0</v>
      </c>
      <c r="O75" s="200">
        <f t="shared" si="17"/>
        <v>0</v>
      </c>
      <c r="P75" s="200">
        <f t="shared" si="7"/>
        <v>0</v>
      </c>
      <c r="Q75" s="200">
        <f t="shared" si="8"/>
        <v>0</v>
      </c>
      <c r="R75" s="242">
        <f t="shared" si="12"/>
        <v>1</v>
      </c>
      <c r="S75" s="197"/>
      <c r="T75" s="198" t="str">
        <f>IF(ISNA(VLOOKUP(D75,'One year follow-up_inperson'!$C:$C,1,FALSE)),"No","Yes")</f>
        <v>No</v>
      </c>
    </row>
    <row r="76" spans="1:20" ht="96.6">
      <c r="A76" s="410">
        <v>49</v>
      </c>
      <c r="B76" s="408"/>
      <c r="C76" s="122" t="str">
        <f t="shared" si="18"/>
        <v>250</v>
      </c>
      <c r="D76" s="122">
        <v>25015</v>
      </c>
      <c r="E76" s="296" t="s">
        <v>193</v>
      </c>
      <c r="F76" s="382" t="s">
        <v>2</v>
      </c>
      <c r="G76" s="296">
        <v>36</v>
      </c>
      <c r="H76" s="296" t="s">
        <v>3</v>
      </c>
      <c r="I76" s="296" t="s">
        <v>231</v>
      </c>
      <c r="J76" s="199">
        <f t="shared" si="13"/>
        <v>1</v>
      </c>
      <c r="K76" s="199">
        <f t="shared" si="14"/>
        <v>1</v>
      </c>
      <c r="L76" s="199">
        <f t="shared" si="15"/>
        <v>0</v>
      </c>
      <c r="M76" s="199">
        <f t="shared" si="10"/>
        <v>1</v>
      </c>
      <c r="N76" s="200">
        <f t="shared" si="16"/>
        <v>0</v>
      </c>
      <c r="O76" s="200">
        <f t="shared" si="17"/>
        <v>0</v>
      </c>
      <c r="P76" s="200">
        <f t="shared" si="7"/>
        <v>0</v>
      </c>
      <c r="Q76" s="200">
        <f t="shared" si="8"/>
        <v>0</v>
      </c>
      <c r="R76" s="242">
        <f t="shared" si="12"/>
        <v>1</v>
      </c>
      <c r="S76" s="197"/>
      <c r="T76" s="198" t="str">
        <f>IF(ISNA(VLOOKUP(D76,'One year follow-up_inperson'!$C:$C,1,FALSE)),"No","Yes")</f>
        <v>No</v>
      </c>
    </row>
    <row r="77" spans="1:20" ht="138">
      <c r="A77" s="410">
        <v>50</v>
      </c>
      <c r="B77" s="408"/>
      <c r="C77" s="122" t="str">
        <f t="shared" si="18"/>
        <v>250</v>
      </c>
      <c r="D77" s="122">
        <v>25016</v>
      </c>
      <c r="E77" s="296" t="s">
        <v>194</v>
      </c>
      <c r="F77" s="382" t="s">
        <v>2</v>
      </c>
      <c r="G77" s="296">
        <v>31</v>
      </c>
      <c r="H77" s="296" t="s">
        <v>3</v>
      </c>
      <c r="I77" s="296" t="s">
        <v>232</v>
      </c>
      <c r="J77" s="199">
        <f t="shared" si="13"/>
        <v>1</v>
      </c>
      <c r="K77" s="199">
        <f t="shared" si="14"/>
        <v>1</v>
      </c>
      <c r="L77" s="199">
        <f t="shared" si="15"/>
        <v>0</v>
      </c>
      <c r="M77" s="199">
        <f t="shared" si="10"/>
        <v>1</v>
      </c>
      <c r="N77" s="200">
        <f t="shared" si="16"/>
        <v>0</v>
      </c>
      <c r="O77" s="200">
        <f t="shared" si="17"/>
        <v>0</v>
      </c>
      <c r="P77" s="200">
        <f t="shared" si="7"/>
        <v>0</v>
      </c>
      <c r="Q77" s="200">
        <f t="shared" si="8"/>
        <v>0</v>
      </c>
      <c r="R77" s="242">
        <f t="shared" si="12"/>
        <v>1</v>
      </c>
      <c r="S77" s="197"/>
      <c r="T77" s="198" t="str">
        <f>IF(ISNA(VLOOKUP(D77,'One year follow-up_inperson'!$C:$C,1,FALSE)),"No","Yes")</f>
        <v>No</v>
      </c>
    </row>
    <row r="78" spans="1:20" ht="96.6">
      <c r="A78" s="410">
        <v>51</v>
      </c>
      <c r="B78" s="408"/>
      <c r="C78" s="122" t="str">
        <f t="shared" si="18"/>
        <v>250</v>
      </c>
      <c r="D78" s="122">
        <v>25018</v>
      </c>
      <c r="E78" s="296" t="s">
        <v>195</v>
      </c>
      <c r="F78" s="382" t="s">
        <v>2</v>
      </c>
      <c r="G78" s="296">
        <v>38</v>
      </c>
      <c r="H78" s="296" t="s">
        <v>3</v>
      </c>
      <c r="I78" s="296" t="s">
        <v>233</v>
      </c>
      <c r="J78" s="199">
        <f t="shared" si="13"/>
        <v>1</v>
      </c>
      <c r="K78" s="199">
        <f t="shared" si="14"/>
        <v>1</v>
      </c>
      <c r="L78" s="199">
        <f t="shared" si="15"/>
        <v>0</v>
      </c>
      <c r="M78" s="199">
        <f t="shared" si="10"/>
        <v>1</v>
      </c>
      <c r="N78" s="200">
        <f t="shared" si="16"/>
        <v>0</v>
      </c>
      <c r="O78" s="200">
        <f t="shared" si="17"/>
        <v>0</v>
      </c>
      <c r="P78" s="200">
        <f t="shared" si="7"/>
        <v>0</v>
      </c>
      <c r="Q78" s="200">
        <f t="shared" si="8"/>
        <v>0</v>
      </c>
      <c r="R78" s="242">
        <f t="shared" si="12"/>
        <v>1</v>
      </c>
      <c r="S78" s="197"/>
      <c r="T78" s="198" t="str">
        <f>IF(ISNA(VLOOKUP(D78,'One year follow-up_inperson'!$C:$C,1,FALSE)),"No","Yes")</f>
        <v>No</v>
      </c>
    </row>
    <row r="79" spans="1:20" ht="103.8" customHeight="1">
      <c r="A79" s="410">
        <v>52</v>
      </c>
      <c r="B79" s="408"/>
      <c r="C79" s="122" t="str">
        <f t="shared" si="18"/>
        <v>250</v>
      </c>
      <c r="D79" s="122">
        <v>25019</v>
      </c>
      <c r="E79" s="296" t="s">
        <v>196</v>
      </c>
      <c r="F79" s="382" t="s">
        <v>2</v>
      </c>
      <c r="G79" s="296">
        <v>48</v>
      </c>
      <c r="H79" s="296" t="s">
        <v>3</v>
      </c>
      <c r="I79" s="296" t="s">
        <v>234</v>
      </c>
      <c r="J79" s="199">
        <f t="shared" si="13"/>
        <v>1</v>
      </c>
      <c r="K79" s="199">
        <f t="shared" si="14"/>
        <v>0</v>
      </c>
      <c r="L79" s="199">
        <f t="shared" si="15"/>
        <v>0</v>
      </c>
      <c r="M79" s="199">
        <f t="shared" si="10"/>
        <v>1</v>
      </c>
      <c r="N79" s="200">
        <f t="shared" si="16"/>
        <v>0</v>
      </c>
      <c r="O79" s="200">
        <f t="shared" si="17"/>
        <v>0</v>
      </c>
      <c r="P79" s="200">
        <f t="shared" si="7"/>
        <v>0</v>
      </c>
      <c r="Q79" s="200">
        <f t="shared" si="8"/>
        <v>0</v>
      </c>
      <c r="R79" s="242">
        <f t="shared" si="12"/>
        <v>1</v>
      </c>
      <c r="S79" s="197"/>
      <c r="T79" s="198" t="str">
        <f>IF(ISNA(VLOOKUP(D79,'One year follow-up_inperson'!$C:$C,1,FALSE)),"No","Yes")</f>
        <v>No</v>
      </c>
    </row>
    <row r="80" spans="1:20" ht="105.6" customHeight="1">
      <c r="A80" s="410">
        <v>53</v>
      </c>
      <c r="B80" s="408"/>
      <c r="C80" s="122" t="str">
        <f t="shared" si="18"/>
        <v>250</v>
      </c>
      <c r="D80" s="122">
        <v>25022</v>
      </c>
      <c r="E80" s="296" t="s">
        <v>197</v>
      </c>
      <c r="F80" s="382" t="s">
        <v>2</v>
      </c>
      <c r="G80" s="296">
        <v>67</v>
      </c>
      <c r="H80" s="296" t="s">
        <v>3</v>
      </c>
      <c r="I80" s="296" t="s">
        <v>235</v>
      </c>
      <c r="J80" s="199">
        <f t="shared" si="13"/>
        <v>0</v>
      </c>
      <c r="K80" s="199">
        <f t="shared" si="14"/>
        <v>1</v>
      </c>
      <c r="L80" s="199">
        <f t="shared" si="15"/>
        <v>0</v>
      </c>
      <c r="M80" s="199">
        <f t="shared" si="10"/>
        <v>1</v>
      </c>
      <c r="N80" s="200">
        <f t="shared" si="16"/>
        <v>0</v>
      </c>
      <c r="O80" s="200">
        <f t="shared" si="17"/>
        <v>0</v>
      </c>
      <c r="P80" s="200">
        <f t="shared" si="7"/>
        <v>0</v>
      </c>
      <c r="Q80" s="200">
        <f t="shared" si="8"/>
        <v>0</v>
      </c>
      <c r="R80" s="242">
        <f t="shared" si="12"/>
        <v>1</v>
      </c>
      <c r="S80" s="197"/>
      <c r="T80" s="198" t="str">
        <f>IF(ISNA(VLOOKUP(D80,'One year follow-up_inperson'!$C:$C,1,FALSE)),"No","Yes")</f>
        <v>No</v>
      </c>
    </row>
    <row r="81" spans="1:20" ht="69">
      <c r="A81" s="410">
        <v>54</v>
      </c>
      <c r="B81" s="408"/>
      <c r="C81" s="122" t="str">
        <f t="shared" si="18"/>
        <v>250</v>
      </c>
      <c r="D81" s="122">
        <v>25024</v>
      </c>
      <c r="E81" s="296" t="s">
        <v>198</v>
      </c>
      <c r="F81" s="382" t="s">
        <v>2</v>
      </c>
      <c r="G81" s="296">
        <v>35</v>
      </c>
      <c r="H81" s="296" t="s">
        <v>3</v>
      </c>
      <c r="I81" s="296" t="s">
        <v>236</v>
      </c>
      <c r="J81" s="199">
        <f t="shared" si="13"/>
        <v>1</v>
      </c>
      <c r="K81" s="199">
        <f t="shared" si="14"/>
        <v>0</v>
      </c>
      <c r="L81" s="199">
        <f t="shared" si="15"/>
        <v>0</v>
      </c>
      <c r="M81" s="199">
        <f t="shared" si="10"/>
        <v>1</v>
      </c>
      <c r="N81" s="200">
        <f t="shared" si="16"/>
        <v>0</v>
      </c>
      <c r="O81" s="200">
        <f t="shared" si="17"/>
        <v>0</v>
      </c>
      <c r="P81" s="200">
        <f t="shared" si="7"/>
        <v>0</v>
      </c>
      <c r="Q81" s="200">
        <f t="shared" si="8"/>
        <v>0</v>
      </c>
      <c r="R81" s="242">
        <f t="shared" si="12"/>
        <v>1</v>
      </c>
      <c r="S81" s="197"/>
      <c r="T81" s="198" t="str">
        <f>IF(ISNA(VLOOKUP(D81,'One year follow-up_inperson'!$C:$C,1,FALSE)),"No","Yes")</f>
        <v>No</v>
      </c>
    </row>
    <row r="82" spans="1:20" ht="151.80000000000001">
      <c r="A82" s="410">
        <v>55</v>
      </c>
      <c r="B82" s="408"/>
      <c r="C82" s="122" t="str">
        <f t="shared" si="18"/>
        <v>250</v>
      </c>
      <c r="D82" s="122">
        <v>25027</v>
      </c>
      <c r="E82" s="296" t="s">
        <v>199</v>
      </c>
      <c r="F82" s="382" t="s">
        <v>2</v>
      </c>
      <c r="G82" s="296">
        <v>46</v>
      </c>
      <c r="H82" s="296" t="s">
        <v>3</v>
      </c>
      <c r="I82" s="296" t="s">
        <v>237</v>
      </c>
      <c r="J82" s="199">
        <f t="shared" si="13"/>
        <v>1</v>
      </c>
      <c r="K82" s="199">
        <f t="shared" si="14"/>
        <v>0</v>
      </c>
      <c r="L82" s="199">
        <f t="shared" si="15"/>
        <v>0</v>
      </c>
      <c r="M82" s="199">
        <f t="shared" si="10"/>
        <v>1</v>
      </c>
      <c r="N82" s="200">
        <f t="shared" si="16"/>
        <v>0</v>
      </c>
      <c r="O82" s="200">
        <f t="shared" si="17"/>
        <v>0</v>
      </c>
      <c r="P82" s="200">
        <f t="shared" si="7"/>
        <v>0</v>
      </c>
      <c r="Q82" s="200">
        <f t="shared" si="8"/>
        <v>0</v>
      </c>
      <c r="R82" s="242">
        <f t="shared" si="12"/>
        <v>1</v>
      </c>
      <c r="S82" s="197"/>
      <c r="T82" s="198" t="str">
        <f>IF(ISNA(VLOOKUP(D82,'One year follow-up_inperson'!$C:$C,1,FALSE)),"No","Yes")</f>
        <v>No</v>
      </c>
    </row>
    <row r="83" spans="1:20" ht="69">
      <c r="A83" s="410">
        <v>56</v>
      </c>
      <c r="B83" s="408"/>
      <c r="C83" s="122" t="str">
        <f t="shared" si="18"/>
        <v>250</v>
      </c>
      <c r="D83" s="122">
        <v>25036</v>
      </c>
      <c r="E83" s="296" t="s">
        <v>200</v>
      </c>
      <c r="F83" s="382" t="s">
        <v>2</v>
      </c>
      <c r="G83" s="296">
        <v>37</v>
      </c>
      <c r="H83" s="296" t="s">
        <v>3</v>
      </c>
      <c r="I83" s="296" t="s">
        <v>238</v>
      </c>
      <c r="J83" s="199">
        <f t="shared" si="13"/>
        <v>1</v>
      </c>
      <c r="K83" s="199">
        <f t="shared" si="14"/>
        <v>1</v>
      </c>
      <c r="L83" s="199">
        <f t="shared" si="15"/>
        <v>0</v>
      </c>
      <c r="M83" s="199">
        <f t="shared" si="10"/>
        <v>1</v>
      </c>
      <c r="N83" s="200">
        <f t="shared" si="16"/>
        <v>0</v>
      </c>
      <c r="O83" s="200">
        <f t="shared" si="17"/>
        <v>0</v>
      </c>
      <c r="P83" s="200">
        <f t="shared" si="7"/>
        <v>0</v>
      </c>
      <c r="Q83" s="200">
        <f t="shared" si="8"/>
        <v>0</v>
      </c>
      <c r="R83" s="242">
        <f t="shared" si="12"/>
        <v>1</v>
      </c>
      <c r="S83" s="197"/>
      <c r="T83" s="198" t="str">
        <f>IF(ISNA(VLOOKUP(D83,'One year follow-up_inperson'!$C:$C,1,FALSE)),"No","Yes")</f>
        <v>No</v>
      </c>
    </row>
    <row r="84" spans="1:20" ht="82.8">
      <c r="A84" s="410">
        <v>57</v>
      </c>
      <c r="B84" s="408"/>
      <c r="C84" s="122" t="str">
        <f t="shared" si="18"/>
        <v>250</v>
      </c>
      <c r="D84" s="122">
        <v>25039</v>
      </c>
      <c r="E84" s="296" t="s">
        <v>201</v>
      </c>
      <c r="F84" s="382" t="s">
        <v>2</v>
      </c>
      <c r="G84" s="296">
        <v>45</v>
      </c>
      <c r="H84" s="296" t="s">
        <v>3</v>
      </c>
      <c r="I84" s="296" t="s">
        <v>239</v>
      </c>
      <c r="J84" s="199">
        <f t="shared" si="13"/>
        <v>1</v>
      </c>
      <c r="K84" s="199">
        <f t="shared" si="14"/>
        <v>0</v>
      </c>
      <c r="L84" s="199">
        <f t="shared" si="15"/>
        <v>0</v>
      </c>
      <c r="M84" s="199">
        <f t="shared" si="10"/>
        <v>1</v>
      </c>
      <c r="N84" s="200">
        <f t="shared" si="16"/>
        <v>0</v>
      </c>
      <c r="O84" s="200">
        <f t="shared" si="17"/>
        <v>0</v>
      </c>
      <c r="P84" s="200">
        <f t="shared" si="7"/>
        <v>0</v>
      </c>
      <c r="Q84" s="200">
        <f t="shared" si="8"/>
        <v>0</v>
      </c>
      <c r="R84" s="242">
        <f t="shared" si="12"/>
        <v>1</v>
      </c>
      <c r="S84" s="197"/>
      <c r="T84" s="198" t="str">
        <f>IF(ISNA(VLOOKUP(D84,'One year follow-up_inperson'!$C:$C,1,FALSE)),"No","Yes")</f>
        <v>No</v>
      </c>
    </row>
    <row r="85" spans="1:20" ht="123.6" customHeight="1">
      <c r="A85" s="410">
        <v>58</v>
      </c>
      <c r="B85" s="408"/>
      <c r="C85" s="122" t="str">
        <f t="shared" si="18"/>
        <v>251</v>
      </c>
      <c r="D85" s="122">
        <v>2511</v>
      </c>
      <c r="E85" s="296" t="s">
        <v>202</v>
      </c>
      <c r="F85" s="382" t="s">
        <v>2</v>
      </c>
      <c r="G85" s="296">
        <v>37</v>
      </c>
      <c r="H85" s="296" t="s">
        <v>3</v>
      </c>
      <c r="I85" s="296" t="s">
        <v>413</v>
      </c>
      <c r="J85" s="199">
        <f t="shared" si="13"/>
        <v>1</v>
      </c>
      <c r="K85" s="199">
        <f t="shared" si="14"/>
        <v>0</v>
      </c>
      <c r="L85" s="199">
        <f t="shared" si="15"/>
        <v>0</v>
      </c>
      <c r="M85" s="199">
        <f t="shared" si="10"/>
        <v>1</v>
      </c>
      <c r="N85" s="200">
        <f t="shared" si="16"/>
        <v>0</v>
      </c>
      <c r="O85" s="200">
        <f t="shared" si="17"/>
        <v>0</v>
      </c>
      <c r="P85" s="200">
        <f t="shared" si="7"/>
        <v>0</v>
      </c>
      <c r="Q85" s="200">
        <f t="shared" si="8"/>
        <v>0</v>
      </c>
      <c r="R85" s="242">
        <f t="shared" si="12"/>
        <v>1</v>
      </c>
      <c r="S85" s="197"/>
      <c r="T85" s="198" t="str">
        <f>IF(ISNA(VLOOKUP(D85,'One year follow-up_inperson'!$C:$C,1,FALSE)),"No","Yes")</f>
        <v>No</v>
      </c>
    </row>
    <row r="86" spans="1:20" ht="110.4">
      <c r="A86" s="410">
        <v>59</v>
      </c>
      <c r="B86" s="408"/>
      <c r="C86" s="122" t="str">
        <f t="shared" si="18"/>
        <v>251</v>
      </c>
      <c r="D86" s="122">
        <v>2512</v>
      </c>
      <c r="E86" s="296" t="s">
        <v>203</v>
      </c>
      <c r="F86" s="382" t="s">
        <v>2</v>
      </c>
      <c r="G86" s="296">
        <v>39</v>
      </c>
      <c r="H86" s="296" t="s">
        <v>3</v>
      </c>
      <c r="I86" s="296" t="s">
        <v>240</v>
      </c>
      <c r="J86" s="199">
        <f t="shared" si="13"/>
        <v>1</v>
      </c>
      <c r="K86" s="199">
        <f t="shared" si="14"/>
        <v>1</v>
      </c>
      <c r="L86" s="199">
        <f t="shared" si="15"/>
        <v>0</v>
      </c>
      <c r="M86" s="199">
        <f t="shared" si="10"/>
        <v>1</v>
      </c>
      <c r="N86" s="200">
        <f t="shared" si="16"/>
        <v>0</v>
      </c>
      <c r="O86" s="200">
        <f t="shared" si="17"/>
        <v>0</v>
      </c>
      <c r="P86" s="200">
        <f t="shared" si="7"/>
        <v>0</v>
      </c>
      <c r="Q86" s="200">
        <f t="shared" si="8"/>
        <v>0</v>
      </c>
      <c r="R86" s="242">
        <f t="shared" si="12"/>
        <v>1</v>
      </c>
      <c r="S86" s="197"/>
      <c r="T86" s="198" t="str">
        <f>IF(ISNA(VLOOKUP(D86,'One year follow-up_inperson'!$C:$C,1,FALSE)),"No","Yes")</f>
        <v>No</v>
      </c>
    </row>
    <row r="87" spans="1:20" ht="110.4">
      <c r="A87" s="410">
        <v>60</v>
      </c>
      <c r="B87" s="408"/>
      <c r="C87" s="122" t="str">
        <f t="shared" si="18"/>
        <v>251</v>
      </c>
      <c r="D87" s="122">
        <v>2513</v>
      </c>
      <c r="E87" s="296" t="s">
        <v>204</v>
      </c>
      <c r="F87" s="382" t="s">
        <v>2</v>
      </c>
      <c r="G87" s="296">
        <v>47</v>
      </c>
      <c r="H87" s="296" t="s">
        <v>3</v>
      </c>
      <c r="I87" s="296" t="s">
        <v>241</v>
      </c>
      <c r="J87" s="199">
        <f t="shared" si="13"/>
        <v>0</v>
      </c>
      <c r="K87" s="199">
        <f t="shared" si="14"/>
        <v>1</v>
      </c>
      <c r="L87" s="199">
        <f t="shared" si="15"/>
        <v>0</v>
      </c>
      <c r="M87" s="199">
        <f t="shared" si="10"/>
        <v>1</v>
      </c>
      <c r="N87" s="200">
        <f t="shared" si="16"/>
        <v>0</v>
      </c>
      <c r="O87" s="200">
        <f t="shared" si="17"/>
        <v>0</v>
      </c>
      <c r="P87" s="200">
        <f t="shared" si="7"/>
        <v>0</v>
      </c>
      <c r="Q87" s="200">
        <f t="shared" si="8"/>
        <v>0</v>
      </c>
      <c r="R87" s="242">
        <f t="shared" si="12"/>
        <v>1</v>
      </c>
      <c r="S87" s="197"/>
      <c r="T87" s="198" t="str">
        <f>IF(ISNA(VLOOKUP(D87,'One year follow-up_inperson'!$C:$C,1,FALSE)),"No","Yes")</f>
        <v>No</v>
      </c>
    </row>
    <row r="88" spans="1:20" ht="115.2" customHeight="1">
      <c r="A88" s="410">
        <v>61</v>
      </c>
      <c r="B88" s="408"/>
      <c r="C88" s="122" t="str">
        <f t="shared" si="18"/>
        <v>251</v>
      </c>
      <c r="D88" s="122">
        <v>2514</v>
      </c>
      <c r="E88" s="296" t="s">
        <v>205</v>
      </c>
      <c r="F88" s="382" t="s">
        <v>2</v>
      </c>
      <c r="G88" s="296">
        <v>30</v>
      </c>
      <c r="H88" s="296" t="s">
        <v>3</v>
      </c>
      <c r="I88" s="296" t="s">
        <v>414</v>
      </c>
      <c r="J88" s="199">
        <f t="shared" si="13"/>
        <v>1</v>
      </c>
      <c r="K88" s="199">
        <f t="shared" si="14"/>
        <v>0</v>
      </c>
      <c r="L88" s="199">
        <f t="shared" si="15"/>
        <v>0</v>
      </c>
      <c r="M88" s="199">
        <f t="shared" si="10"/>
        <v>1</v>
      </c>
      <c r="N88" s="200">
        <f t="shared" si="16"/>
        <v>0</v>
      </c>
      <c r="O88" s="200">
        <f t="shared" si="17"/>
        <v>0</v>
      </c>
      <c r="P88" s="200">
        <f t="shared" si="7"/>
        <v>0</v>
      </c>
      <c r="Q88" s="200">
        <f t="shared" si="8"/>
        <v>0</v>
      </c>
      <c r="R88" s="242">
        <f t="shared" si="12"/>
        <v>1</v>
      </c>
      <c r="S88" s="197"/>
      <c r="T88" s="198" t="str">
        <f>IF(ISNA(VLOOKUP(D88,'One year follow-up_inperson'!$C:$C,1,FALSE)),"No","Yes")</f>
        <v>No</v>
      </c>
    </row>
    <row r="89" spans="1:20" ht="110.4">
      <c r="A89" s="410">
        <v>62</v>
      </c>
      <c r="B89" s="408"/>
      <c r="C89" s="122" t="str">
        <f t="shared" si="18"/>
        <v>251</v>
      </c>
      <c r="D89" s="122">
        <v>2515</v>
      </c>
      <c r="E89" s="296" t="s">
        <v>206</v>
      </c>
      <c r="F89" s="382" t="s">
        <v>2</v>
      </c>
      <c r="G89" s="296">
        <v>48</v>
      </c>
      <c r="H89" s="296" t="s">
        <v>3</v>
      </c>
      <c r="I89" s="296" t="s">
        <v>242</v>
      </c>
      <c r="J89" s="199">
        <f t="shared" si="13"/>
        <v>1</v>
      </c>
      <c r="K89" s="199">
        <f t="shared" si="14"/>
        <v>0</v>
      </c>
      <c r="L89" s="199">
        <f t="shared" si="15"/>
        <v>0</v>
      </c>
      <c r="M89" s="199">
        <f t="shared" si="10"/>
        <v>1</v>
      </c>
      <c r="N89" s="200">
        <f t="shared" si="16"/>
        <v>0</v>
      </c>
      <c r="O89" s="200">
        <f t="shared" si="17"/>
        <v>0</v>
      </c>
      <c r="P89" s="200">
        <f t="shared" si="7"/>
        <v>0</v>
      </c>
      <c r="Q89" s="200">
        <f t="shared" si="8"/>
        <v>0</v>
      </c>
      <c r="R89" s="242">
        <f t="shared" si="12"/>
        <v>1</v>
      </c>
      <c r="S89" s="197"/>
      <c r="T89" s="198" t="str">
        <f>IF(ISNA(VLOOKUP(D89,'One year follow-up_inperson'!$C:$C,1,FALSE)),"No","Yes")</f>
        <v>No</v>
      </c>
    </row>
    <row r="90" spans="1:20" ht="166.8" customHeight="1">
      <c r="A90" s="410">
        <v>63</v>
      </c>
      <c r="B90" s="408"/>
      <c r="C90" s="122" t="str">
        <f t="shared" si="18"/>
        <v>251</v>
      </c>
      <c r="D90" s="122">
        <v>2516</v>
      </c>
      <c r="E90" s="296" t="s">
        <v>207</v>
      </c>
      <c r="F90" s="382" t="s">
        <v>2</v>
      </c>
      <c r="G90" s="296">
        <v>33</v>
      </c>
      <c r="H90" s="296" t="s">
        <v>3</v>
      </c>
      <c r="I90" s="296" t="s">
        <v>415</v>
      </c>
      <c r="J90" s="199">
        <f t="shared" si="13"/>
        <v>1</v>
      </c>
      <c r="K90" s="199">
        <f t="shared" si="14"/>
        <v>0</v>
      </c>
      <c r="L90" s="199">
        <f t="shared" si="15"/>
        <v>0</v>
      </c>
      <c r="M90" s="199">
        <f t="shared" si="10"/>
        <v>1</v>
      </c>
      <c r="N90" s="200">
        <f t="shared" si="16"/>
        <v>0</v>
      </c>
      <c r="O90" s="200">
        <f t="shared" si="17"/>
        <v>0</v>
      </c>
      <c r="P90" s="200">
        <f t="shared" si="7"/>
        <v>0</v>
      </c>
      <c r="Q90" s="200">
        <f t="shared" si="8"/>
        <v>0</v>
      </c>
      <c r="R90" s="242">
        <f t="shared" si="12"/>
        <v>1</v>
      </c>
      <c r="S90" s="197"/>
      <c r="T90" s="198" t="str">
        <f>IF(ISNA(VLOOKUP(D90,'One year follow-up_inperson'!$C:$C,1,FALSE)),"No","Yes")</f>
        <v>No</v>
      </c>
    </row>
    <row r="91" spans="1:20" ht="96.6">
      <c r="A91" s="410">
        <v>64</v>
      </c>
      <c r="B91" s="408"/>
      <c r="C91" s="122" t="str">
        <f t="shared" si="18"/>
        <v>251</v>
      </c>
      <c r="D91" s="122">
        <v>2517</v>
      </c>
      <c r="E91" s="296" t="s">
        <v>208</v>
      </c>
      <c r="F91" s="382" t="s">
        <v>2</v>
      </c>
      <c r="G91" s="296">
        <v>30</v>
      </c>
      <c r="H91" s="296" t="s">
        <v>3</v>
      </c>
      <c r="I91" s="296" t="s">
        <v>243</v>
      </c>
      <c r="J91" s="199">
        <f t="shared" si="13"/>
        <v>1</v>
      </c>
      <c r="K91" s="199">
        <f t="shared" si="14"/>
        <v>1</v>
      </c>
      <c r="L91" s="199">
        <f t="shared" si="15"/>
        <v>0</v>
      </c>
      <c r="M91" s="199">
        <f t="shared" si="10"/>
        <v>1</v>
      </c>
      <c r="N91" s="200">
        <f t="shared" si="16"/>
        <v>0</v>
      </c>
      <c r="O91" s="200">
        <f t="shared" si="17"/>
        <v>0</v>
      </c>
      <c r="P91" s="200">
        <f t="shared" si="7"/>
        <v>0</v>
      </c>
      <c r="Q91" s="200">
        <f t="shared" si="8"/>
        <v>0</v>
      </c>
      <c r="R91" s="242">
        <f t="shared" si="12"/>
        <v>1</v>
      </c>
      <c r="S91" s="197"/>
      <c r="T91" s="198" t="str">
        <f>IF(ISNA(VLOOKUP(D91,'One year follow-up_inperson'!$C:$C,1,FALSE)),"No","Yes")</f>
        <v>No</v>
      </c>
    </row>
    <row r="92" spans="1:20" ht="96.6">
      <c r="A92" s="410">
        <v>65</v>
      </c>
      <c r="B92" s="408"/>
      <c r="C92" s="122" t="str">
        <f t="shared" si="18"/>
        <v>251</v>
      </c>
      <c r="D92" s="122">
        <v>2518</v>
      </c>
      <c r="E92" s="296" t="s">
        <v>209</v>
      </c>
      <c r="F92" s="382" t="s">
        <v>2</v>
      </c>
      <c r="G92" s="296">
        <v>28</v>
      </c>
      <c r="H92" s="296" t="s">
        <v>3</v>
      </c>
      <c r="I92" s="296" t="s">
        <v>244</v>
      </c>
      <c r="J92" s="199">
        <f t="shared" ref="J92" si="19">IF(OR(ISNUMBER(SEARCH("confidence",I92))=TRUE,ISNUMBER(SEARCH("hope for the future",I92))=TRUE,ISNUMBER(SEARCH("communicate",I92))=TRUE,ISNUMBER(SEARCH("worthy",I92))=TRUE,ISNUMBER(SEARCH("thought",I92))=TRUE,ISNUMBER(SEARCH("open",I92))=TRUE,ISNUMBER(SEARCH("believe",I92))=TRUE,ISNUMBER(SEARCH("confident",I92))=TRUE,ISNUMBER(SEARCH("empower",I92))=TRUE),1,0)</f>
        <v>1</v>
      </c>
      <c r="K92" s="199">
        <f t="shared" si="14"/>
        <v>1</v>
      </c>
      <c r="L92" s="199">
        <f t="shared" si="15"/>
        <v>0</v>
      </c>
      <c r="M92" s="199">
        <f t="shared" si="10"/>
        <v>1</v>
      </c>
      <c r="N92" s="200">
        <f t="shared" si="16"/>
        <v>0</v>
      </c>
      <c r="O92" s="200">
        <f t="shared" si="17"/>
        <v>0</v>
      </c>
      <c r="P92" s="200">
        <f t="shared" ref="P92:P155" si="20">IF(OR(ISNUMBER(SEARCH("school admission",I92))=TRUE,ISNUMBER(SEARCH("perfomance in class",I92))=TRUE,ISNUMBER(SEARCH("scholarship",I92))=TRUE,ISNUMBER(SEARCH("pursue higher education",I92))=TRUE),1,0)</f>
        <v>0</v>
      </c>
      <c r="Q92" s="200">
        <f t="shared" ref="Q92:Q155" si="21">IF(OR(ISNUMBER(SEARCH("leadership role",I92))=TRUE),1,0)</f>
        <v>0</v>
      </c>
      <c r="R92" s="242">
        <f t="shared" si="12"/>
        <v>1</v>
      </c>
      <c r="S92" s="197"/>
      <c r="T92" s="198" t="str">
        <f>IF(ISNA(VLOOKUP(D92,'One year follow-up_inperson'!$C:$C,1,FALSE)),"No","Yes")</f>
        <v>No</v>
      </c>
    </row>
    <row r="93" spans="1:20" ht="151.80000000000001">
      <c r="A93" s="410">
        <v>66</v>
      </c>
      <c r="B93" s="408"/>
      <c r="C93" s="122" t="str">
        <f t="shared" si="18"/>
        <v>251</v>
      </c>
      <c r="D93" s="122">
        <v>2519</v>
      </c>
      <c r="E93" s="296" t="s">
        <v>210</v>
      </c>
      <c r="F93" s="382" t="s">
        <v>2</v>
      </c>
      <c r="G93" s="296">
        <v>31</v>
      </c>
      <c r="H93" s="296" t="s">
        <v>3</v>
      </c>
      <c r="I93" s="296" t="s">
        <v>245</v>
      </c>
      <c r="J93" s="199">
        <f t="shared" ref="J93:J156" si="22">IF(OR(ISNUMBER(SEARCH("confidence",I93))=TRUE,ISNUMBER(SEARCH("hope for the future",I93))=TRUE,ISNUMBER(SEARCH("communicate",I93))=TRUE,ISNUMBER(SEARCH("worthy",I93))=TRUE,ISNUMBER(SEARCH("thought",I93))=TRUE,ISNUMBER(SEARCH("open",I93))=TRUE,ISNUMBER(SEARCH("believe",I93))=TRUE,ISNUMBER(SEARCH("confident",I93))=TRUE,ISNUMBER(SEARCH("empower",I93))=TRUE),1,0)</f>
        <v>0</v>
      </c>
      <c r="K93" s="199">
        <f t="shared" ref="K93:K156" si="23">IF(OR(ISNUMBER(SEARCH("decision",I93))=TRUE,ISNUMBER(SEARCH("save",I93))=TRUE,ISNUMBER(SEARCH("saving",I93))=TRUE,ISNUMBER(SEARCH("started",I93))=TRUE,ISNUMBER(SEARCH("buy",I93))=TRUE,ISNUMBER(SEARCH("bought",I93))=TRUE),1,0)</f>
        <v>1</v>
      </c>
      <c r="L93" s="199">
        <f t="shared" ref="L93:L156" si="24">IF(OR(ISNUMBER(SEARCH("active",I93))=TRUE,ISNUMBER(SEARCH("proactive",I93))=TRUE,ISNUMBER(SEARCH("face challenge",I93))=TRUE),1,0)</f>
        <v>0</v>
      </c>
      <c r="M93" s="199">
        <f t="shared" ref="M93:M156" si="25">IF(OR(J93=1,K93=1,L93=1),1,0)</f>
        <v>1</v>
      </c>
      <c r="N93" s="200">
        <f t="shared" ref="N93:N156" si="26">IF(OR(ISNUMBER(SEARCH("started a business",I93))=TRUE,ISNUMBER(SEARCH("started an income generating activity",I93))=TRUE),1,0)</f>
        <v>0</v>
      </c>
      <c r="O93" s="200">
        <f t="shared" ref="O93:O156" si="27">IF(OR(ISNUMBER(SEARCH("got a job",I93))=TRUE,ISNUMBER(SEARCH("got an internship",I93))=TRUE,ISNUMBER(SEARCH("got a promotion",I93))=TRUE),1,0)</f>
        <v>0</v>
      </c>
      <c r="P93" s="200">
        <f t="shared" si="20"/>
        <v>0</v>
      </c>
      <c r="Q93" s="200">
        <f t="shared" si="21"/>
        <v>0</v>
      </c>
      <c r="R93" s="242">
        <f t="shared" si="12"/>
        <v>1</v>
      </c>
      <c r="S93" s="197"/>
      <c r="T93" s="198" t="str">
        <f>IF(ISNA(VLOOKUP(D93,'One year follow-up_inperson'!$C:$C,1,FALSE)),"No","Yes")</f>
        <v>No</v>
      </c>
    </row>
    <row r="94" spans="1:20" ht="96.6">
      <c r="A94" s="410">
        <v>67</v>
      </c>
      <c r="B94" s="408"/>
      <c r="C94" s="122" t="str">
        <f t="shared" si="18"/>
        <v>251</v>
      </c>
      <c r="D94" s="122">
        <v>25110</v>
      </c>
      <c r="E94" s="296" t="s">
        <v>211</v>
      </c>
      <c r="F94" s="382" t="s">
        <v>2</v>
      </c>
      <c r="G94" s="296">
        <v>44</v>
      </c>
      <c r="H94" s="296" t="s">
        <v>3</v>
      </c>
      <c r="I94" s="296" t="s">
        <v>246</v>
      </c>
      <c r="J94" s="199">
        <f t="shared" si="22"/>
        <v>0</v>
      </c>
      <c r="K94" s="199">
        <f t="shared" si="23"/>
        <v>1</v>
      </c>
      <c r="L94" s="199">
        <f t="shared" si="24"/>
        <v>0</v>
      </c>
      <c r="M94" s="199">
        <f t="shared" si="25"/>
        <v>1</v>
      </c>
      <c r="N94" s="200">
        <f t="shared" si="26"/>
        <v>0</v>
      </c>
      <c r="O94" s="200">
        <f t="shared" si="27"/>
        <v>0</v>
      </c>
      <c r="P94" s="200">
        <f t="shared" si="20"/>
        <v>0</v>
      </c>
      <c r="Q94" s="200">
        <f t="shared" si="21"/>
        <v>0</v>
      </c>
      <c r="R94" s="242">
        <f t="shared" si="12"/>
        <v>1</v>
      </c>
      <c r="S94" s="197"/>
      <c r="T94" s="198" t="str">
        <f>IF(ISNA(VLOOKUP(D94,'One year follow-up_inperson'!$C:$C,1,FALSE)),"No","Yes")</f>
        <v>No</v>
      </c>
    </row>
    <row r="95" spans="1:20" ht="96.6">
      <c r="A95" s="410">
        <v>68</v>
      </c>
      <c r="B95" s="408"/>
      <c r="C95" s="122" t="str">
        <f t="shared" si="18"/>
        <v>251</v>
      </c>
      <c r="D95" s="122">
        <v>25112</v>
      </c>
      <c r="E95" s="296" t="s">
        <v>212</v>
      </c>
      <c r="F95" s="382" t="s">
        <v>2</v>
      </c>
      <c r="G95" s="296">
        <v>22</v>
      </c>
      <c r="H95" s="296" t="s">
        <v>3</v>
      </c>
      <c r="I95" s="296" t="s">
        <v>247</v>
      </c>
      <c r="J95" s="199">
        <f t="shared" si="22"/>
        <v>1</v>
      </c>
      <c r="K95" s="199">
        <f t="shared" si="23"/>
        <v>1</v>
      </c>
      <c r="L95" s="199">
        <f t="shared" si="24"/>
        <v>0</v>
      </c>
      <c r="M95" s="199">
        <f t="shared" si="25"/>
        <v>1</v>
      </c>
      <c r="N95" s="200">
        <f t="shared" si="26"/>
        <v>0</v>
      </c>
      <c r="O95" s="200">
        <f t="shared" si="27"/>
        <v>0</v>
      </c>
      <c r="P95" s="200">
        <f t="shared" si="20"/>
        <v>0</v>
      </c>
      <c r="Q95" s="200">
        <f t="shared" si="21"/>
        <v>0</v>
      </c>
      <c r="R95" s="242">
        <f t="shared" si="12"/>
        <v>1</v>
      </c>
      <c r="S95" s="197"/>
      <c r="T95" s="198" t="str">
        <f>IF(ISNA(VLOOKUP(D95,'One year follow-up_inperson'!$C:$C,1,FALSE)),"No","Yes")</f>
        <v>No</v>
      </c>
    </row>
    <row r="96" spans="1:20" ht="138">
      <c r="A96" s="410">
        <v>69</v>
      </c>
      <c r="B96" s="408"/>
      <c r="C96" s="122" t="str">
        <f t="shared" si="18"/>
        <v>251</v>
      </c>
      <c r="D96" s="122">
        <v>25113</v>
      </c>
      <c r="E96" s="296" t="s">
        <v>213</v>
      </c>
      <c r="F96" s="382" t="s">
        <v>2</v>
      </c>
      <c r="G96" s="296">
        <v>29</v>
      </c>
      <c r="H96" s="296" t="s">
        <v>3</v>
      </c>
      <c r="I96" s="296" t="s">
        <v>248</v>
      </c>
      <c r="J96" s="199">
        <f t="shared" si="22"/>
        <v>0</v>
      </c>
      <c r="K96" s="199">
        <f t="shared" si="23"/>
        <v>1</v>
      </c>
      <c r="L96" s="199">
        <f t="shared" si="24"/>
        <v>0</v>
      </c>
      <c r="M96" s="199">
        <f t="shared" si="25"/>
        <v>1</v>
      </c>
      <c r="N96" s="200">
        <f t="shared" si="26"/>
        <v>0</v>
      </c>
      <c r="O96" s="200">
        <f t="shared" si="27"/>
        <v>0</v>
      </c>
      <c r="P96" s="200">
        <f t="shared" si="20"/>
        <v>0</v>
      </c>
      <c r="Q96" s="200">
        <f t="shared" si="21"/>
        <v>0</v>
      </c>
      <c r="R96" s="242">
        <f t="shared" si="12"/>
        <v>1</v>
      </c>
      <c r="S96" s="197"/>
      <c r="T96" s="198" t="str">
        <f>IF(ISNA(VLOOKUP(D96,'One year follow-up_inperson'!$C:$C,1,FALSE)),"No","Yes")</f>
        <v>No</v>
      </c>
    </row>
    <row r="97" spans="1:20" ht="110.4">
      <c r="A97" s="410">
        <v>70</v>
      </c>
      <c r="B97" s="408"/>
      <c r="C97" s="122" t="str">
        <f t="shared" si="18"/>
        <v>251</v>
      </c>
      <c r="D97" s="122">
        <v>25114</v>
      </c>
      <c r="E97" s="296" t="s">
        <v>214</v>
      </c>
      <c r="F97" s="382" t="s">
        <v>2</v>
      </c>
      <c r="G97" s="296">
        <v>42</v>
      </c>
      <c r="H97" s="296" t="s">
        <v>3</v>
      </c>
      <c r="I97" s="296" t="s">
        <v>249</v>
      </c>
      <c r="J97" s="199">
        <f t="shared" si="22"/>
        <v>1</v>
      </c>
      <c r="K97" s="199">
        <f t="shared" si="23"/>
        <v>1</v>
      </c>
      <c r="L97" s="199">
        <f t="shared" si="24"/>
        <v>0</v>
      </c>
      <c r="M97" s="199">
        <f t="shared" si="25"/>
        <v>1</v>
      </c>
      <c r="N97" s="200">
        <f t="shared" si="26"/>
        <v>0</v>
      </c>
      <c r="O97" s="200">
        <f t="shared" si="27"/>
        <v>0</v>
      </c>
      <c r="P97" s="200">
        <f t="shared" si="20"/>
        <v>0</v>
      </c>
      <c r="Q97" s="200">
        <f t="shared" si="21"/>
        <v>0</v>
      </c>
      <c r="R97" s="242">
        <f t="shared" si="12"/>
        <v>1</v>
      </c>
      <c r="S97" s="197"/>
      <c r="T97" s="198" t="str">
        <f>IF(ISNA(VLOOKUP(D97,'One year follow-up_inperson'!$C:$C,1,FALSE)),"No","Yes")</f>
        <v>No</v>
      </c>
    </row>
    <row r="98" spans="1:20" ht="138">
      <c r="A98" s="410">
        <v>71</v>
      </c>
      <c r="B98" s="408"/>
      <c r="C98" s="122" t="str">
        <f t="shared" si="18"/>
        <v>251</v>
      </c>
      <c r="D98" s="122">
        <v>25115</v>
      </c>
      <c r="E98" s="296" t="s">
        <v>215</v>
      </c>
      <c r="F98" s="382" t="s">
        <v>2</v>
      </c>
      <c r="G98" s="296">
        <v>35</v>
      </c>
      <c r="H98" s="296" t="s">
        <v>3</v>
      </c>
      <c r="I98" s="296" t="s">
        <v>250</v>
      </c>
      <c r="J98" s="199">
        <f t="shared" si="22"/>
        <v>0</v>
      </c>
      <c r="K98" s="199">
        <f t="shared" si="23"/>
        <v>1</v>
      </c>
      <c r="L98" s="199">
        <f t="shared" si="24"/>
        <v>0</v>
      </c>
      <c r="M98" s="199">
        <f t="shared" si="25"/>
        <v>1</v>
      </c>
      <c r="N98" s="200">
        <f t="shared" si="26"/>
        <v>0</v>
      </c>
      <c r="O98" s="200">
        <f t="shared" si="27"/>
        <v>0</v>
      </c>
      <c r="P98" s="200">
        <f t="shared" si="20"/>
        <v>0</v>
      </c>
      <c r="Q98" s="200">
        <f t="shared" si="21"/>
        <v>0</v>
      </c>
      <c r="R98" s="242">
        <f t="shared" si="12"/>
        <v>1</v>
      </c>
      <c r="S98" s="197"/>
      <c r="T98" s="198" t="str">
        <f>IF(ISNA(VLOOKUP(D98,'One year follow-up_inperson'!$C:$C,1,FALSE)),"No","Yes")</f>
        <v>No</v>
      </c>
    </row>
    <row r="99" spans="1:20" ht="55.2">
      <c r="A99" s="410">
        <v>72</v>
      </c>
      <c r="B99" s="408"/>
      <c r="C99" s="122" t="str">
        <f t="shared" si="18"/>
        <v>251</v>
      </c>
      <c r="D99" s="122">
        <v>25116</v>
      </c>
      <c r="E99" s="296" t="s">
        <v>216</v>
      </c>
      <c r="F99" s="382" t="s">
        <v>2</v>
      </c>
      <c r="G99" s="296">
        <v>33</v>
      </c>
      <c r="H99" s="296" t="s">
        <v>3</v>
      </c>
      <c r="I99" s="296" t="s">
        <v>251</v>
      </c>
      <c r="J99" s="199">
        <f t="shared" si="22"/>
        <v>1</v>
      </c>
      <c r="K99" s="199">
        <f t="shared" si="23"/>
        <v>1</v>
      </c>
      <c r="L99" s="199">
        <f t="shared" si="24"/>
        <v>0</v>
      </c>
      <c r="M99" s="199">
        <f t="shared" si="25"/>
        <v>1</v>
      </c>
      <c r="N99" s="200">
        <f t="shared" si="26"/>
        <v>0</v>
      </c>
      <c r="O99" s="200">
        <f t="shared" si="27"/>
        <v>0</v>
      </c>
      <c r="P99" s="200">
        <f t="shared" si="20"/>
        <v>0</v>
      </c>
      <c r="Q99" s="200">
        <f t="shared" si="21"/>
        <v>0</v>
      </c>
      <c r="R99" s="242">
        <f t="shared" si="12"/>
        <v>1</v>
      </c>
      <c r="S99" s="197"/>
      <c r="T99" s="198" t="str">
        <f>IF(ISNA(VLOOKUP(D99,'One year follow-up_inperson'!$C:$C,1,FALSE)),"No","Yes")</f>
        <v>No</v>
      </c>
    </row>
    <row r="100" spans="1:20" ht="154.80000000000001" customHeight="1">
      <c r="A100" s="410">
        <v>73</v>
      </c>
      <c r="B100" s="408"/>
      <c r="C100" s="122" t="str">
        <f t="shared" si="18"/>
        <v>251</v>
      </c>
      <c r="D100" s="122">
        <v>25121</v>
      </c>
      <c r="E100" s="296" t="s">
        <v>217</v>
      </c>
      <c r="F100" s="382" t="s">
        <v>2</v>
      </c>
      <c r="G100" s="296">
        <v>34</v>
      </c>
      <c r="H100" s="296" t="s">
        <v>3</v>
      </c>
      <c r="I100" s="296" t="s">
        <v>416</v>
      </c>
      <c r="J100" s="199">
        <f t="shared" si="22"/>
        <v>0</v>
      </c>
      <c r="K100" s="199">
        <f t="shared" si="23"/>
        <v>0</v>
      </c>
      <c r="L100" s="199">
        <f t="shared" si="24"/>
        <v>1</v>
      </c>
      <c r="M100" s="199">
        <f t="shared" si="25"/>
        <v>1</v>
      </c>
      <c r="N100" s="200">
        <f t="shared" si="26"/>
        <v>0</v>
      </c>
      <c r="O100" s="200">
        <f t="shared" si="27"/>
        <v>0</v>
      </c>
      <c r="P100" s="200">
        <f t="shared" si="20"/>
        <v>0</v>
      </c>
      <c r="Q100" s="200">
        <f t="shared" si="21"/>
        <v>0</v>
      </c>
      <c r="R100" s="242">
        <f t="shared" si="12"/>
        <v>1</v>
      </c>
      <c r="S100" s="197"/>
      <c r="T100" s="198" t="str">
        <f>IF(ISNA(VLOOKUP(D100,'One year follow-up_inperson'!$C:$C,1,FALSE)),"No","Yes")</f>
        <v>No</v>
      </c>
    </row>
    <row r="101" spans="1:20" ht="96.6">
      <c r="A101" s="410">
        <v>74</v>
      </c>
      <c r="B101" s="408"/>
      <c r="C101" s="122" t="str">
        <f t="shared" si="18"/>
        <v>251</v>
      </c>
      <c r="D101" s="122">
        <v>25122</v>
      </c>
      <c r="E101" s="296" t="s">
        <v>218</v>
      </c>
      <c r="F101" s="382" t="s">
        <v>2</v>
      </c>
      <c r="G101" s="296">
        <v>21</v>
      </c>
      <c r="H101" s="296" t="s">
        <v>3</v>
      </c>
      <c r="I101" s="296" t="s">
        <v>252</v>
      </c>
      <c r="J101" s="199">
        <f t="shared" si="22"/>
        <v>1</v>
      </c>
      <c r="K101" s="199">
        <f t="shared" si="23"/>
        <v>1</v>
      </c>
      <c r="L101" s="199">
        <f t="shared" si="24"/>
        <v>0</v>
      </c>
      <c r="M101" s="199">
        <f t="shared" si="25"/>
        <v>1</v>
      </c>
      <c r="N101" s="200">
        <f t="shared" si="26"/>
        <v>0</v>
      </c>
      <c r="O101" s="200">
        <f t="shared" si="27"/>
        <v>0</v>
      </c>
      <c r="P101" s="200">
        <f t="shared" si="20"/>
        <v>0</v>
      </c>
      <c r="Q101" s="200">
        <f t="shared" si="21"/>
        <v>0</v>
      </c>
      <c r="R101" s="242">
        <f t="shared" si="12"/>
        <v>1</v>
      </c>
      <c r="S101" s="197"/>
      <c r="T101" s="198" t="str">
        <f>IF(ISNA(VLOOKUP(D101,'One year follow-up_inperson'!$C:$C,1,FALSE)),"No","Yes")</f>
        <v>No</v>
      </c>
    </row>
    <row r="102" spans="1:20" ht="82.8">
      <c r="A102" s="410">
        <v>75</v>
      </c>
      <c r="B102" s="408"/>
      <c r="C102" s="122" t="str">
        <f t="shared" si="18"/>
        <v>251</v>
      </c>
      <c r="D102" s="122">
        <v>25127</v>
      </c>
      <c r="E102" s="296" t="s">
        <v>219</v>
      </c>
      <c r="F102" s="382" t="s">
        <v>2</v>
      </c>
      <c r="G102" s="296">
        <v>27</v>
      </c>
      <c r="H102" s="296" t="s">
        <v>3</v>
      </c>
      <c r="I102" s="296" t="s">
        <v>253</v>
      </c>
      <c r="J102" s="199">
        <f t="shared" si="22"/>
        <v>0</v>
      </c>
      <c r="K102" s="199">
        <f t="shared" si="23"/>
        <v>1</v>
      </c>
      <c r="L102" s="199">
        <f t="shared" si="24"/>
        <v>0</v>
      </c>
      <c r="M102" s="199">
        <f t="shared" si="25"/>
        <v>1</v>
      </c>
      <c r="N102" s="200">
        <f t="shared" si="26"/>
        <v>0</v>
      </c>
      <c r="O102" s="200">
        <f t="shared" si="27"/>
        <v>0</v>
      </c>
      <c r="P102" s="200">
        <f t="shared" si="20"/>
        <v>0</v>
      </c>
      <c r="Q102" s="200">
        <f t="shared" si="21"/>
        <v>0</v>
      </c>
      <c r="R102" s="242">
        <f t="shared" si="12"/>
        <v>1</v>
      </c>
      <c r="S102" s="197"/>
      <c r="T102" s="198" t="str">
        <f>IF(ISNA(VLOOKUP(D102,'One year follow-up_inperson'!$C:$C,1,FALSE)),"No","Yes")</f>
        <v>No</v>
      </c>
    </row>
    <row r="103" spans="1:20" ht="96.6">
      <c r="A103" s="410">
        <v>76</v>
      </c>
      <c r="B103" s="408"/>
      <c r="C103" s="122" t="str">
        <f t="shared" si="18"/>
        <v>251</v>
      </c>
      <c r="D103" s="122">
        <v>25129</v>
      </c>
      <c r="E103" s="296" t="s">
        <v>220</v>
      </c>
      <c r="F103" s="382" t="s">
        <v>2</v>
      </c>
      <c r="G103" s="296">
        <v>35</v>
      </c>
      <c r="H103" s="296" t="s">
        <v>3</v>
      </c>
      <c r="I103" s="296" t="s">
        <v>254</v>
      </c>
      <c r="J103" s="199">
        <f t="shared" si="22"/>
        <v>0</v>
      </c>
      <c r="K103" s="199">
        <f t="shared" si="23"/>
        <v>1</v>
      </c>
      <c r="L103" s="199">
        <f t="shared" si="24"/>
        <v>0</v>
      </c>
      <c r="M103" s="199">
        <f t="shared" si="25"/>
        <v>1</v>
      </c>
      <c r="N103" s="200">
        <f t="shared" si="26"/>
        <v>0</v>
      </c>
      <c r="O103" s="200">
        <f t="shared" si="27"/>
        <v>0</v>
      </c>
      <c r="P103" s="200">
        <f t="shared" si="20"/>
        <v>0</v>
      </c>
      <c r="Q103" s="200">
        <f t="shared" si="21"/>
        <v>0</v>
      </c>
      <c r="R103" s="242">
        <f t="shared" si="12"/>
        <v>1</v>
      </c>
      <c r="S103" s="197"/>
      <c r="T103" s="198" t="str">
        <f>IF(ISNA(VLOOKUP(D103,'One year follow-up_inperson'!$C:$C,1,FALSE)),"No","Yes")</f>
        <v>No</v>
      </c>
    </row>
    <row r="104" spans="1:20" ht="118.2" customHeight="1">
      <c r="A104" s="410">
        <v>77</v>
      </c>
      <c r="B104" s="408"/>
      <c r="C104" s="122" t="str">
        <f t="shared" si="18"/>
        <v>251</v>
      </c>
      <c r="D104" s="122">
        <v>25131</v>
      </c>
      <c r="E104" s="296" t="s">
        <v>221</v>
      </c>
      <c r="F104" s="382" t="s">
        <v>2</v>
      </c>
      <c r="G104" s="296">
        <v>28</v>
      </c>
      <c r="H104" s="296" t="s">
        <v>3</v>
      </c>
      <c r="I104" s="296" t="s">
        <v>255</v>
      </c>
      <c r="J104" s="199">
        <f t="shared" si="22"/>
        <v>0</v>
      </c>
      <c r="K104" s="199">
        <f t="shared" si="23"/>
        <v>1</v>
      </c>
      <c r="L104" s="199">
        <f t="shared" si="24"/>
        <v>0</v>
      </c>
      <c r="M104" s="199">
        <f t="shared" si="25"/>
        <v>1</v>
      </c>
      <c r="N104" s="200">
        <f t="shared" si="26"/>
        <v>0</v>
      </c>
      <c r="O104" s="200">
        <f t="shared" si="27"/>
        <v>0</v>
      </c>
      <c r="P104" s="200">
        <f t="shared" si="20"/>
        <v>0</v>
      </c>
      <c r="Q104" s="200">
        <f t="shared" si="21"/>
        <v>0</v>
      </c>
      <c r="R104" s="242">
        <f t="shared" si="12"/>
        <v>1</v>
      </c>
      <c r="S104" s="197"/>
      <c r="T104" s="198" t="str">
        <f>IF(ISNA(VLOOKUP(D104,'One year follow-up_inperson'!$C:$C,1,FALSE)),"No","Yes")</f>
        <v>No</v>
      </c>
    </row>
    <row r="105" spans="1:20" ht="208.2" customHeight="1">
      <c r="A105" s="410">
        <v>78</v>
      </c>
      <c r="B105" s="408"/>
      <c r="C105" s="122" t="str">
        <f t="shared" si="18"/>
        <v>251</v>
      </c>
      <c r="D105" s="122">
        <v>25132</v>
      </c>
      <c r="E105" s="296" t="s">
        <v>222</v>
      </c>
      <c r="F105" s="382" t="s">
        <v>2</v>
      </c>
      <c r="G105" s="296">
        <v>39</v>
      </c>
      <c r="H105" s="296" t="s">
        <v>3</v>
      </c>
      <c r="I105" s="296" t="s">
        <v>453</v>
      </c>
      <c r="J105" s="199">
        <f t="shared" si="22"/>
        <v>0</v>
      </c>
      <c r="K105" s="199">
        <f t="shared" si="23"/>
        <v>1</v>
      </c>
      <c r="L105" s="199">
        <f t="shared" si="24"/>
        <v>0</v>
      </c>
      <c r="M105" s="199">
        <f t="shared" si="25"/>
        <v>1</v>
      </c>
      <c r="N105" s="200">
        <f t="shared" si="26"/>
        <v>0</v>
      </c>
      <c r="O105" s="200">
        <f t="shared" si="27"/>
        <v>0</v>
      </c>
      <c r="P105" s="200">
        <f t="shared" si="20"/>
        <v>0</v>
      </c>
      <c r="Q105" s="200">
        <f t="shared" si="21"/>
        <v>0</v>
      </c>
      <c r="R105" s="242">
        <f t="shared" si="12"/>
        <v>1</v>
      </c>
      <c r="S105" s="197"/>
      <c r="T105" s="198" t="str">
        <f>IF(ISNA(VLOOKUP(D105,'One year follow-up_inperson'!$C:$C,1,FALSE)),"No","Yes")</f>
        <v>No</v>
      </c>
    </row>
    <row r="106" spans="1:20" ht="159" customHeight="1">
      <c r="A106" s="410">
        <v>79</v>
      </c>
      <c r="B106" s="408"/>
      <c r="C106" s="132" t="str">
        <f t="shared" si="18"/>
        <v>251</v>
      </c>
      <c r="D106" s="132">
        <v>25133</v>
      </c>
      <c r="E106" s="388" t="s">
        <v>223</v>
      </c>
      <c r="F106" s="387" t="s">
        <v>2</v>
      </c>
      <c r="G106" s="388">
        <v>41</v>
      </c>
      <c r="H106" s="388" t="s">
        <v>3</v>
      </c>
      <c r="I106" s="296" t="s">
        <v>256</v>
      </c>
      <c r="J106" s="199">
        <f t="shared" si="22"/>
        <v>0</v>
      </c>
      <c r="K106" s="199">
        <f t="shared" si="23"/>
        <v>1</v>
      </c>
      <c r="L106" s="199">
        <f t="shared" si="24"/>
        <v>0</v>
      </c>
      <c r="M106" s="199">
        <f t="shared" si="25"/>
        <v>1</v>
      </c>
      <c r="N106" s="200">
        <f t="shared" si="26"/>
        <v>0</v>
      </c>
      <c r="O106" s="200">
        <f t="shared" si="27"/>
        <v>0</v>
      </c>
      <c r="P106" s="200">
        <f t="shared" si="20"/>
        <v>0</v>
      </c>
      <c r="Q106" s="200">
        <f t="shared" si="21"/>
        <v>0</v>
      </c>
      <c r="R106" s="242">
        <f t="shared" si="12"/>
        <v>1</v>
      </c>
      <c r="S106" s="197"/>
      <c r="T106" s="198" t="str">
        <f>IF(ISNA(VLOOKUP(D106,'One year follow-up_inperson'!$C:$C,1,FALSE)),"No","Yes")</f>
        <v>No</v>
      </c>
    </row>
    <row r="107" spans="1:20" ht="131.4" customHeight="1">
      <c r="A107" s="410">
        <v>80</v>
      </c>
      <c r="B107" s="409"/>
      <c r="C107" s="125" t="str">
        <f t="shared" si="18"/>
        <v>254</v>
      </c>
      <c r="D107" s="122">
        <v>2541</v>
      </c>
      <c r="E107" s="386" t="s">
        <v>329</v>
      </c>
      <c r="F107" s="387" t="s">
        <v>2</v>
      </c>
      <c r="G107" s="386">
        <v>22</v>
      </c>
      <c r="H107" s="296" t="s">
        <v>3</v>
      </c>
      <c r="I107" s="386" t="s">
        <v>417</v>
      </c>
      <c r="J107" s="199">
        <f t="shared" si="22"/>
        <v>0</v>
      </c>
      <c r="K107" s="199">
        <f t="shared" si="23"/>
        <v>1</v>
      </c>
      <c r="L107" s="199">
        <f t="shared" si="24"/>
        <v>0</v>
      </c>
      <c r="M107" s="199">
        <f t="shared" si="25"/>
        <v>1</v>
      </c>
      <c r="N107" s="200">
        <f t="shared" si="26"/>
        <v>1</v>
      </c>
      <c r="O107" s="200">
        <f t="shared" si="27"/>
        <v>0</v>
      </c>
      <c r="P107" s="200">
        <f t="shared" si="20"/>
        <v>0</v>
      </c>
      <c r="Q107" s="200">
        <f t="shared" si="21"/>
        <v>0</v>
      </c>
      <c r="R107" s="242">
        <f t="shared" si="12"/>
        <v>1</v>
      </c>
      <c r="S107" s="197"/>
      <c r="T107" s="198" t="str">
        <f>IF(ISNA(VLOOKUP(D107,'One year follow-up_inperson'!$C:$C,1,FALSE)),"No","Yes")</f>
        <v>No</v>
      </c>
    </row>
    <row r="108" spans="1:20" ht="111.6" customHeight="1">
      <c r="A108" s="410">
        <v>81</v>
      </c>
      <c r="B108" s="409"/>
      <c r="C108" s="125" t="str">
        <f t="shared" si="18"/>
        <v>254</v>
      </c>
      <c r="D108" s="392">
        <v>2542</v>
      </c>
      <c r="E108" s="393" t="s">
        <v>355</v>
      </c>
      <c r="F108" s="387" t="s">
        <v>2</v>
      </c>
      <c r="G108" s="393">
        <v>23</v>
      </c>
      <c r="H108" s="296" t="s">
        <v>3</v>
      </c>
      <c r="I108" s="296" t="s">
        <v>418</v>
      </c>
      <c r="J108" s="199">
        <f t="shared" si="22"/>
        <v>1</v>
      </c>
      <c r="K108" s="199">
        <f t="shared" si="23"/>
        <v>0</v>
      </c>
      <c r="L108" s="199">
        <f t="shared" si="24"/>
        <v>0</v>
      </c>
      <c r="M108" s="199">
        <f t="shared" si="25"/>
        <v>1</v>
      </c>
      <c r="N108" s="200">
        <f t="shared" si="26"/>
        <v>0</v>
      </c>
      <c r="O108" s="200">
        <f t="shared" si="27"/>
        <v>0</v>
      </c>
      <c r="P108" s="200">
        <f t="shared" si="20"/>
        <v>0</v>
      </c>
      <c r="Q108" s="200">
        <f t="shared" si="21"/>
        <v>0</v>
      </c>
      <c r="R108" s="242">
        <f t="shared" si="12"/>
        <v>1</v>
      </c>
      <c r="S108" s="197"/>
      <c r="T108" s="198" t="str">
        <f>IF(ISNA(VLOOKUP(D108,'One year follow-up_inperson'!$C:$C,1,FALSE)),"No","Yes")</f>
        <v>No</v>
      </c>
    </row>
    <row r="109" spans="1:20" ht="126.6" customHeight="1">
      <c r="A109" s="410">
        <v>82</v>
      </c>
      <c r="B109" s="409"/>
      <c r="C109" s="125" t="str">
        <f t="shared" si="18"/>
        <v>254</v>
      </c>
      <c r="D109" s="392">
        <v>2544</v>
      </c>
      <c r="E109" s="393" t="s">
        <v>356</v>
      </c>
      <c r="F109" s="387" t="s">
        <v>2</v>
      </c>
      <c r="G109" s="393">
        <v>24</v>
      </c>
      <c r="H109" s="296" t="s">
        <v>3</v>
      </c>
      <c r="I109" s="296" t="s">
        <v>419</v>
      </c>
      <c r="J109" s="199">
        <f t="shared" si="22"/>
        <v>1</v>
      </c>
      <c r="K109" s="199">
        <f t="shared" si="23"/>
        <v>1</v>
      </c>
      <c r="L109" s="199">
        <f t="shared" si="24"/>
        <v>0</v>
      </c>
      <c r="M109" s="199">
        <f t="shared" si="25"/>
        <v>1</v>
      </c>
      <c r="N109" s="200">
        <f t="shared" si="26"/>
        <v>1</v>
      </c>
      <c r="O109" s="200">
        <f t="shared" si="27"/>
        <v>0</v>
      </c>
      <c r="P109" s="200">
        <f t="shared" si="20"/>
        <v>0</v>
      </c>
      <c r="Q109" s="200">
        <f t="shared" si="21"/>
        <v>0</v>
      </c>
      <c r="R109" s="242">
        <f t="shared" si="12"/>
        <v>1</v>
      </c>
      <c r="S109" s="197"/>
      <c r="T109" s="198" t="str">
        <f>IF(ISNA(VLOOKUP(D109,'One year follow-up_inperson'!$C:$C,1,FALSE)),"No","Yes")</f>
        <v>No</v>
      </c>
    </row>
    <row r="110" spans="1:20" ht="97.8" customHeight="1">
      <c r="A110" s="410">
        <v>83</v>
      </c>
      <c r="B110" s="409"/>
      <c r="C110" s="125" t="str">
        <f t="shared" si="18"/>
        <v>254</v>
      </c>
      <c r="D110" s="122">
        <v>2545</v>
      </c>
      <c r="E110" s="386" t="s">
        <v>330</v>
      </c>
      <c r="F110" s="387" t="s">
        <v>2</v>
      </c>
      <c r="G110" s="386">
        <v>23</v>
      </c>
      <c r="H110" s="296" t="s">
        <v>3</v>
      </c>
      <c r="I110" s="296" t="s">
        <v>452</v>
      </c>
      <c r="J110" s="199">
        <f t="shared" si="22"/>
        <v>0</v>
      </c>
      <c r="K110" s="199">
        <f t="shared" si="23"/>
        <v>0</v>
      </c>
      <c r="L110" s="199">
        <f t="shared" si="24"/>
        <v>0</v>
      </c>
      <c r="M110" s="199">
        <f t="shared" si="25"/>
        <v>0</v>
      </c>
      <c r="N110" s="200">
        <f t="shared" si="26"/>
        <v>0</v>
      </c>
      <c r="O110" s="200">
        <f t="shared" si="27"/>
        <v>0</v>
      </c>
      <c r="P110" s="200">
        <f t="shared" si="20"/>
        <v>0</v>
      </c>
      <c r="Q110" s="200">
        <f t="shared" si="21"/>
        <v>0</v>
      </c>
      <c r="R110" s="242">
        <f t="shared" ref="R110:R173" si="28">IF(OR(M110=1,N110=1,O110=1,P110=1,Q110=1),1,0)</f>
        <v>0</v>
      </c>
      <c r="S110" s="197"/>
      <c r="T110" s="198" t="str">
        <f>IF(ISNA(VLOOKUP(D110,'One year follow-up_inperson'!$C:$C,1,FALSE)),"No","Yes")</f>
        <v>No</v>
      </c>
    </row>
    <row r="111" spans="1:20" ht="120" customHeight="1">
      <c r="A111" s="410">
        <v>84</v>
      </c>
      <c r="B111" s="409"/>
      <c r="C111" s="125" t="str">
        <f t="shared" si="18"/>
        <v>254</v>
      </c>
      <c r="D111" s="122">
        <v>2546</v>
      </c>
      <c r="E111" s="386" t="s">
        <v>331</v>
      </c>
      <c r="F111" s="387" t="s">
        <v>2</v>
      </c>
      <c r="G111" s="386">
        <v>24</v>
      </c>
      <c r="H111" s="296" t="s">
        <v>3</v>
      </c>
      <c r="I111" s="296" t="s">
        <v>343</v>
      </c>
      <c r="J111" s="199">
        <f t="shared" si="22"/>
        <v>1</v>
      </c>
      <c r="K111" s="199">
        <f t="shared" si="23"/>
        <v>1</v>
      </c>
      <c r="L111" s="199">
        <f t="shared" si="24"/>
        <v>1</v>
      </c>
      <c r="M111" s="199">
        <f t="shared" si="25"/>
        <v>1</v>
      </c>
      <c r="N111" s="200">
        <f t="shared" si="26"/>
        <v>0</v>
      </c>
      <c r="O111" s="200">
        <f t="shared" si="27"/>
        <v>0</v>
      </c>
      <c r="P111" s="200">
        <f t="shared" si="20"/>
        <v>0</v>
      </c>
      <c r="Q111" s="200">
        <f t="shared" si="21"/>
        <v>0</v>
      </c>
      <c r="R111" s="242">
        <f t="shared" si="28"/>
        <v>1</v>
      </c>
      <c r="S111" s="197"/>
      <c r="T111" s="198" t="str">
        <f>IF(ISNA(VLOOKUP(D111,'One year follow-up_inperson'!$C:$C,1,FALSE)),"No","Yes")</f>
        <v>No</v>
      </c>
    </row>
    <row r="112" spans="1:20" ht="80.400000000000006" customHeight="1">
      <c r="A112" s="410">
        <v>85</v>
      </c>
      <c r="B112" s="409"/>
      <c r="C112" s="125" t="str">
        <f t="shared" si="18"/>
        <v>254</v>
      </c>
      <c r="D112" s="122">
        <v>2547</v>
      </c>
      <c r="E112" s="386" t="s">
        <v>332</v>
      </c>
      <c r="F112" s="387" t="s">
        <v>2</v>
      </c>
      <c r="G112" s="386">
        <v>28</v>
      </c>
      <c r="H112" s="296" t="s">
        <v>3</v>
      </c>
      <c r="I112" s="296" t="s">
        <v>451</v>
      </c>
      <c r="J112" s="199">
        <f t="shared" si="22"/>
        <v>0</v>
      </c>
      <c r="K112" s="199">
        <f t="shared" si="23"/>
        <v>0</v>
      </c>
      <c r="L112" s="199">
        <f t="shared" si="24"/>
        <v>0</v>
      </c>
      <c r="M112" s="199">
        <f t="shared" si="25"/>
        <v>0</v>
      </c>
      <c r="N112" s="200">
        <f t="shared" si="26"/>
        <v>0</v>
      </c>
      <c r="O112" s="200">
        <f t="shared" si="27"/>
        <v>0</v>
      </c>
      <c r="P112" s="200">
        <f t="shared" si="20"/>
        <v>0</v>
      </c>
      <c r="Q112" s="200">
        <f t="shared" si="21"/>
        <v>0</v>
      </c>
      <c r="R112" s="242">
        <f t="shared" si="28"/>
        <v>0</v>
      </c>
      <c r="S112" s="197"/>
      <c r="T112" s="198" t="str">
        <f>IF(ISNA(VLOOKUP(D112,'One year follow-up_inperson'!$C:$C,1,FALSE)),"No","Yes")</f>
        <v>No</v>
      </c>
    </row>
    <row r="113" spans="1:20" ht="78.599999999999994" customHeight="1">
      <c r="A113" s="410">
        <v>86</v>
      </c>
      <c r="B113" s="409"/>
      <c r="C113" s="125" t="str">
        <f t="shared" si="18"/>
        <v>254</v>
      </c>
      <c r="D113" s="122">
        <v>2549</v>
      </c>
      <c r="E113" s="386" t="s">
        <v>333</v>
      </c>
      <c r="F113" s="387" t="s">
        <v>2</v>
      </c>
      <c r="G113" s="386">
        <v>23</v>
      </c>
      <c r="H113" s="296" t="s">
        <v>3</v>
      </c>
      <c r="I113" s="296" t="s">
        <v>450</v>
      </c>
      <c r="J113" s="199">
        <f t="shared" si="22"/>
        <v>0</v>
      </c>
      <c r="K113" s="199">
        <f t="shared" si="23"/>
        <v>0</v>
      </c>
      <c r="L113" s="199">
        <f t="shared" si="24"/>
        <v>0</v>
      </c>
      <c r="M113" s="199">
        <f t="shared" si="25"/>
        <v>0</v>
      </c>
      <c r="N113" s="200">
        <f t="shared" si="26"/>
        <v>0</v>
      </c>
      <c r="O113" s="200">
        <f t="shared" si="27"/>
        <v>0</v>
      </c>
      <c r="P113" s="200">
        <f t="shared" si="20"/>
        <v>0</v>
      </c>
      <c r="Q113" s="200">
        <f t="shared" si="21"/>
        <v>0</v>
      </c>
      <c r="R113" s="242">
        <f t="shared" si="28"/>
        <v>0</v>
      </c>
      <c r="S113" s="197"/>
      <c r="T113" s="198" t="str">
        <f>IF(ISNA(VLOOKUP(D113,'One year follow-up_inperson'!$C:$C,1,FALSE)),"No","Yes")</f>
        <v>No</v>
      </c>
    </row>
    <row r="114" spans="1:20" ht="82.8" customHeight="1">
      <c r="A114" s="410">
        <v>87</v>
      </c>
      <c r="B114" s="409"/>
      <c r="C114" s="125" t="str">
        <f t="shared" si="18"/>
        <v>254</v>
      </c>
      <c r="D114" s="122">
        <v>25410</v>
      </c>
      <c r="E114" s="386" t="s">
        <v>334</v>
      </c>
      <c r="F114" s="387" t="s">
        <v>2</v>
      </c>
      <c r="G114" s="386">
        <v>27</v>
      </c>
      <c r="H114" s="296" t="s">
        <v>3</v>
      </c>
      <c r="I114" s="296" t="s">
        <v>449</v>
      </c>
      <c r="J114" s="199">
        <f t="shared" si="22"/>
        <v>0</v>
      </c>
      <c r="K114" s="199">
        <f t="shared" si="23"/>
        <v>0</v>
      </c>
      <c r="L114" s="199">
        <f t="shared" si="24"/>
        <v>0</v>
      </c>
      <c r="M114" s="199">
        <f t="shared" si="25"/>
        <v>0</v>
      </c>
      <c r="N114" s="200">
        <f t="shared" si="26"/>
        <v>0</v>
      </c>
      <c r="O114" s="200">
        <f t="shared" si="27"/>
        <v>0</v>
      </c>
      <c r="P114" s="200">
        <f t="shared" si="20"/>
        <v>0</v>
      </c>
      <c r="Q114" s="200">
        <f t="shared" si="21"/>
        <v>0</v>
      </c>
      <c r="R114" s="242">
        <f t="shared" si="28"/>
        <v>0</v>
      </c>
      <c r="S114" s="197"/>
      <c r="T114" s="198" t="str">
        <f>IF(ISNA(VLOOKUP(D114,'One year follow-up_inperson'!$C:$C,1,FALSE)),"No","Yes")</f>
        <v>No</v>
      </c>
    </row>
    <row r="115" spans="1:20" ht="127.2" customHeight="1">
      <c r="A115" s="410">
        <v>88</v>
      </c>
      <c r="B115" s="409"/>
      <c r="C115" s="125" t="str">
        <f t="shared" si="18"/>
        <v>254</v>
      </c>
      <c r="D115" s="392">
        <v>25411</v>
      </c>
      <c r="E115" s="393" t="s">
        <v>357</v>
      </c>
      <c r="F115" s="387" t="s">
        <v>2</v>
      </c>
      <c r="G115" s="393">
        <v>23</v>
      </c>
      <c r="H115" s="296" t="s">
        <v>3</v>
      </c>
      <c r="I115" s="296" t="s">
        <v>420</v>
      </c>
      <c r="J115" s="199">
        <f t="shared" si="22"/>
        <v>1</v>
      </c>
      <c r="K115" s="199">
        <f t="shared" si="23"/>
        <v>1</v>
      </c>
      <c r="L115" s="199">
        <f t="shared" si="24"/>
        <v>0</v>
      </c>
      <c r="M115" s="199">
        <f t="shared" si="25"/>
        <v>1</v>
      </c>
      <c r="N115" s="200">
        <f t="shared" si="26"/>
        <v>1</v>
      </c>
      <c r="O115" s="200">
        <f t="shared" si="27"/>
        <v>0</v>
      </c>
      <c r="P115" s="200">
        <f t="shared" si="20"/>
        <v>0</v>
      </c>
      <c r="Q115" s="200">
        <f t="shared" si="21"/>
        <v>0</v>
      </c>
      <c r="R115" s="242">
        <f t="shared" si="28"/>
        <v>1</v>
      </c>
      <c r="S115" s="197"/>
      <c r="T115" s="198" t="str">
        <f>IF(ISNA(VLOOKUP(D115,'One year follow-up_inperson'!$C:$C,1,FALSE)),"No","Yes")</f>
        <v>No</v>
      </c>
    </row>
    <row r="116" spans="1:20" ht="113.4" customHeight="1">
      <c r="A116" s="410">
        <v>89</v>
      </c>
      <c r="B116" s="409"/>
      <c r="C116" s="125" t="str">
        <f t="shared" si="18"/>
        <v>254</v>
      </c>
      <c r="D116" s="122">
        <v>25413</v>
      </c>
      <c r="E116" s="386" t="s">
        <v>335</v>
      </c>
      <c r="F116" s="387" t="s">
        <v>2</v>
      </c>
      <c r="G116" s="386">
        <v>26</v>
      </c>
      <c r="H116" s="296" t="s">
        <v>3</v>
      </c>
      <c r="I116" s="296" t="s">
        <v>344</v>
      </c>
      <c r="J116" s="199">
        <f t="shared" si="22"/>
        <v>1</v>
      </c>
      <c r="K116" s="199">
        <f t="shared" si="23"/>
        <v>1</v>
      </c>
      <c r="L116" s="199">
        <f t="shared" si="24"/>
        <v>0</v>
      </c>
      <c r="M116" s="199">
        <f t="shared" si="25"/>
        <v>1</v>
      </c>
      <c r="N116" s="200">
        <f t="shared" si="26"/>
        <v>0</v>
      </c>
      <c r="O116" s="200">
        <f t="shared" si="27"/>
        <v>0</v>
      </c>
      <c r="P116" s="200">
        <f t="shared" si="20"/>
        <v>0</v>
      </c>
      <c r="Q116" s="200">
        <f t="shared" si="21"/>
        <v>0</v>
      </c>
      <c r="R116" s="242">
        <f t="shared" si="28"/>
        <v>1</v>
      </c>
      <c r="S116" s="197"/>
      <c r="T116" s="198" t="str">
        <f>IF(ISNA(VLOOKUP(D116,'One year follow-up_inperson'!$C:$C,1,FALSE)),"No","Yes")</f>
        <v>No</v>
      </c>
    </row>
    <row r="117" spans="1:20" ht="101.4" customHeight="1">
      <c r="A117" s="410">
        <v>90</v>
      </c>
      <c r="B117" s="409"/>
      <c r="C117" s="125" t="str">
        <f t="shared" si="18"/>
        <v>254</v>
      </c>
      <c r="D117" s="122">
        <v>25415</v>
      </c>
      <c r="E117" s="386" t="s">
        <v>336</v>
      </c>
      <c r="F117" s="387" t="s">
        <v>2</v>
      </c>
      <c r="G117" s="386">
        <v>22</v>
      </c>
      <c r="H117" s="296" t="s">
        <v>3</v>
      </c>
      <c r="I117" s="296" t="s">
        <v>345</v>
      </c>
      <c r="J117" s="199">
        <f t="shared" si="22"/>
        <v>1</v>
      </c>
      <c r="K117" s="199">
        <f t="shared" si="23"/>
        <v>0</v>
      </c>
      <c r="L117" s="199">
        <f t="shared" si="24"/>
        <v>0</v>
      </c>
      <c r="M117" s="199">
        <f t="shared" si="25"/>
        <v>1</v>
      </c>
      <c r="N117" s="200">
        <f t="shared" si="26"/>
        <v>0</v>
      </c>
      <c r="O117" s="200">
        <f t="shared" si="27"/>
        <v>1</v>
      </c>
      <c r="P117" s="200">
        <f t="shared" si="20"/>
        <v>0</v>
      </c>
      <c r="Q117" s="200">
        <f t="shared" si="21"/>
        <v>0</v>
      </c>
      <c r="R117" s="242">
        <f t="shared" si="28"/>
        <v>1</v>
      </c>
      <c r="S117" s="197"/>
      <c r="T117" s="198" t="str">
        <f>IF(ISNA(VLOOKUP(D117,'One year follow-up_inperson'!$C:$C,1,FALSE)),"No","Yes")</f>
        <v>No</v>
      </c>
    </row>
    <row r="118" spans="1:20" ht="111.6" customHeight="1">
      <c r="A118" s="410">
        <v>91</v>
      </c>
      <c r="B118" s="409"/>
      <c r="C118" s="125" t="str">
        <f t="shared" si="18"/>
        <v>254</v>
      </c>
      <c r="D118" s="122">
        <v>25416</v>
      </c>
      <c r="E118" s="386" t="s">
        <v>337</v>
      </c>
      <c r="F118" s="387" t="s">
        <v>2</v>
      </c>
      <c r="G118" s="386">
        <v>21</v>
      </c>
      <c r="H118" s="296" t="s">
        <v>3</v>
      </c>
      <c r="I118" s="296" t="s">
        <v>346</v>
      </c>
      <c r="J118" s="199">
        <f t="shared" si="22"/>
        <v>1</v>
      </c>
      <c r="K118" s="199">
        <f t="shared" si="23"/>
        <v>0</v>
      </c>
      <c r="L118" s="199">
        <f t="shared" si="24"/>
        <v>0</v>
      </c>
      <c r="M118" s="199">
        <f t="shared" si="25"/>
        <v>1</v>
      </c>
      <c r="N118" s="200">
        <f t="shared" si="26"/>
        <v>0</v>
      </c>
      <c r="O118" s="200">
        <f t="shared" si="27"/>
        <v>0</v>
      </c>
      <c r="P118" s="200">
        <f t="shared" si="20"/>
        <v>0</v>
      </c>
      <c r="Q118" s="200">
        <f t="shared" si="21"/>
        <v>0</v>
      </c>
      <c r="R118" s="242">
        <f t="shared" si="28"/>
        <v>1</v>
      </c>
      <c r="S118" s="197"/>
      <c r="T118" s="198" t="str">
        <f>IF(ISNA(VLOOKUP(D118,'One year follow-up_inperson'!$C:$C,1,FALSE)),"No","Yes")</f>
        <v>No</v>
      </c>
    </row>
    <row r="119" spans="1:20" ht="112.2" customHeight="1">
      <c r="A119" s="410">
        <v>92</v>
      </c>
      <c r="B119" s="409"/>
      <c r="C119" s="125" t="str">
        <f t="shared" si="18"/>
        <v>254</v>
      </c>
      <c r="D119" s="122">
        <v>25417</v>
      </c>
      <c r="E119" s="386" t="s">
        <v>338</v>
      </c>
      <c r="F119" s="387" t="s">
        <v>2</v>
      </c>
      <c r="G119" s="386">
        <v>26</v>
      </c>
      <c r="H119" s="296" t="s">
        <v>3</v>
      </c>
      <c r="I119" s="296" t="s">
        <v>347</v>
      </c>
      <c r="J119" s="199">
        <f t="shared" si="22"/>
        <v>1</v>
      </c>
      <c r="K119" s="199">
        <f t="shared" si="23"/>
        <v>0</v>
      </c>
      <c r="L119" s="199">
        <f t="shared" si="24"/>
        <v>0</v>
      </c>
      <c r="M119" s="199">
        <f t="shared" si="25"/>
        <v>1</v>
      </c>
      <c r="N119" s="200">
        <f t="shared" si="26"/>
        <v>0</v>
      </c>
      <c r="O119" s="200">
        <f t="shared" si="27"/>
        <v>0</v>
      </c>
      <c r="P119" s="200">
        <f t="shared" si="20"/>
        <v>0</v>
      </c>
      <c r="Q119" s="200">
        <f t="shared" si="21"/>
        <v>1</v>
      </c>
      <c r="R119" s="242">
        <f t="shared" si="28"/>
        <v>1</v>
      </c>
      <c r="S119" s="197"/>
      <c r="T119" s="198" t="str">
        <f>IF(ISNA(VLOOKUP(D119,'One year follow-up_inperson'!$C:$C,1,FALSE)),"No","Yes")</f>
        <v>No</v>
      </c>
    </row>
    <row r="120" spans="1:20" ht="81" customHeight="1">
      <c r="A120" s="410">
        <v>93</v>
      </c>
      <c r="B120" s="409"/>
      <c r="C120" s="125" t="str">
        <f t="shared" si="18"/>
        <v>254</v>
      </c>
      <c r="D120" s="122">
        <v>25422</v>
      </c>
      <c r="E120" s="386" t="s">
        <v>339</v>
      </c>
      <c r="F120" s="387" t="s">
        <v>2</v>
      </c>
      <c r="G120" s="386">
        <v>26</v>
      </c>
      <c r="H120" s="296" t="s">
        <v>3</v>
      </c>
      <c r="I120" s="296" t="s">
        <v>448</v>
      </c>
      <c r="J120" s="199">
        <f t="shared" si="22"/>
        <v>0</v>
      </c>
      <c r="K120" s="199">
        <f t="shared" si="23"/>
        <v>0</v>
      </c>
      <c r="L120" s="199">
        <f t="shared" si="24"/>
        <v>0</v>
      </c>
      <c r="M120" s="199">
        <f t="shared" si="25"/>
        <v>0</v>
      </c>
      <c r="N120" s="200">
        <f t="shared" si="26"/>
        <v>0</v>
      </c>
      <c r="O120" s="200">
        <f t="shared" si="27"/>
        <v>0</v>
      </c>
      <c r="P120" s="200">
        <f t="shared" si="20"/>
        <v>0</v>
      </c>
      <c r="Q120" s="200">
        <f t="shared" si="21"/>
        <v>0</v>
      </c>
      <c r="R120" s="242">
        <f t="shared" si="28"/>
        <v>0</v>
      </c>
      <c r="S120" s="197"/>
      <c r="T120" s="198" t="str">
        <f>IF(ISNA(VLOOKUP(D120,'One year follow-up_inperson'!$C:$C,1,FALSE)),"No","Yes")</f>
        <v>No</v>
      </c>
    </row>
    <row r="121" spans="1:20" ht="70.8" customHeight="1">
      <c r="A121" s="410">
        <v>94</v>
      </c>
      <c r="B121" s="409"/>
      <c r="C121" s="125" t="str">
        <f t="shared" si="18"/>
        <v>254</v>
      </c>
      <c r="D121" s="392">
        <v>25423</v>
      </c>
      <c r="E121" s="393" t="s">
        <v>358</v>
      </c>
      <c r="F121" s="387" t="s">
        <v>2</v>
      </c>
      <c r="G121" s="393">
        <v>24</v>
      </c>
      <c r="H121" s="296" t="s">
        <v>3</v>
      </c>
      <c r="I121" s="399" t="s">
        <v>421</v>
      </c>
      <c r="J121" s="199">
        <f t="shared" si="22"/>
        <v>1</v>
      </c>
      <c r="K121" s="199">
        <f t="shared" si="23"/>
        <v>1</v>
      </c>
      <c r="L121" s="199">
        <f t="shared" si="24"/>
        <v>0</v>
      </c>
      <c r="M121" s="199">
        <f t="shared" si="25"/>
        <v>1</v>
      </c>
      <c r="N121" s="200">
        <f t="shared" si="26"/>
        <v>1</v>
      </c>
      <c r="O121" s="200">
        <f t="shared" si="27"/>
        <v>0</v>
      </c>
      <c r="P121" s="200">
        <f t="shared" si="20"/>
        <v>0</v>
      </c>
      <c r="Q121" s="200">
        <f t="shared" si="21"/>
        <v>0</v>
      </c>
      <c r="R121" s="242">
        <f t="shared" si="28"/>
        <v>1</v>
      </c>
      <c r="S121" s="197"/>
      <c r="T121" s="198" t="str">
        <f>IF(ISNA(VLOOKUP(D121,'One year follow-up_inperson'!$C:$C,1,FALSE)),"No","Yes")</f>
        <v>No</v>
      </c>
    </row>
    <row r="122" spans="1:20" ht="82.8" customHeight="1">
      <c r="A122" s="410">
        <v>95</v>
      </c>
      <c r="B122" s="409"/>
      <c r="C122" s="125" t="str">
        <f t="shared" si="18"/>
        <v>254</v>
      </c>
      <c r="D122" s="122">
        <v>25425</v>
      </c>
      <c r="E122" s="386" t="s">
        <v>340</v>
      </c>
      <c r="F122" s="387" t="s">
        <v>2</v>
      </c>
      <c r="G122" s="386">
        <v>29</v>
      </c>
      <c r="H122" s="296" t="s">
        <v>3</v>
      </c>
      <c r="I122" s="296" t="s">
        <v>447</v>
      </c>
      <c r="J122" s="199">
        <f t="shared" si="22"/>
        <v>0</v>
      </c>
      <c r="K122" s="199">
        <f t="shared" si="23"/>
        <v>0</v>
      </c>
      <c r="L122" s="199">
        <f t="shared" si="24"/>
        <v>0</v>
      </c>
      <c r="M122" s="199">
        <f t="shared" si="25"/>
        <v>0</v>
      </c>
      <c r="N122" s="200">
        <f t="shared" si="26"/>
        <v>0</v>
      </c>
      <c r="O122" s="200">
        <f t="shared" si="27"/>
        <v>0</v>
      </c>
      <c r="P122" s="200">
        <f t="shared" si="20"/>
        <v>0</v>
      </c>
      <c r="Q122" s="200">
        <f t="shared" si="21"/>
        <v>0</v>
      </c>
      <c r="R122" s="242">
        <f t="shared" si="28"/>
        <v>0</v>
      </c>
      <c r="S122" s="197"/>
      <c r="T122" s="198" t="str">
        <f>IF(ISNA(VLOOKUP(D122,'One year follow-up_inperson'!$C:$C,1,FALSE)),"No","Yes")</f>
        <v>No</v>
      </c>
    </row>
    <row r="123" spans="1:20" ht="94.2" customHeight="1">
      <c r="A123" s="410">
        <v>96</v>
      </c>
      <c r="B123" s="409"/>
      <c r="C123" s="125" t="str">
        <f t="shared" si="18"/>
        <v>254</v>
      </c>
      <c r="D123" s="122">
        <v>25426</v>
      </c>
      <c r="E123" s="386" t="s">
        <v>341</v>
      </c>
      <c r="F123" s="387" t="s">
        <v>2</v>
      </c>
      <c r="G123" s="386">
        <v>23</v>
      </c>
      <c r="H123" s="296" t="s">
        <v>3</v>
      </c>
      <c r="I123" s="296" t="s">
        <v>348</v>
      </c>
      <c r="J123" s="199">
        <f t="shared" si="22"/>
        <v>0</v>
      </c>
      <c r="K123" s="199">
        <f t="shared" si="23"/>
        <v>1</v>
      </c>
      <c r="L123" s="199">
        <f t="shared" si="24"/>
        <v>0</v>
      </c>
      <c r="M123" s="199">
        <f t="shared" si="25"/>
        <v>1</v>
      </c>
      <c r="N123" s="200">
        <f t="shared" si="26"/>
        <v>0</v>
      </c>
      <c r="O123" s="200">
        <f t="shared" si="27"/>
        <v>0</v>
      </c>
      <c r="P123" s="200">
        <f t="shared" si="20"/>
        <v>0</v>
      </c>
      <c r="Q123" s="200">
        <f t="shared" si="21"/>
        <v>0</v>
      </c>
      <c r="R123" s="242">
        <f t="shared" si="28"/>
        <v>1</v>
      </c>
      <c r="S123" s="197"/>
      <c r="T123" s="198" t="str">
        <f>IF(ISNA(VLOOKUP(D123,'One year follow-up_inperson'!$C:$C,1,FALSE)),"No","Yes")</f>
        <v>No</v>
      </c>
    </row>
    <row r="124" spans="1:20" ht="70.8" customHeight="1">
      <c r="A124" s="410">
        <v>97</v>
      </c>
      <c r="B124" s="409"/>
      <c r="C124" s="125" t="str">
        <f t="shared" si="18"/>
        <v>254</v>
      </c>
      <c r="D124" s="122">
        <v>25428</v>
      </c>
      <c r="E124" s="386" t="s">
        <v>342</v>
      </c>
      <c r="F124" s="387" t="s">
        <v>2</v>
      </c>
      <c r="G124" s="386">
        <v>29</v>
      </c>
      <c r="H124" s="296" t="s">
        <v>3</v>
      </c>
      <c r="I124" s="386" t="s">
        <v>349</v>
      </c>
      <c r="J124" s="199">
        <f t="shared" si="22"/>
        <v>0</v>
      </c>
      <c r="K124" s="199">
        <f t="shared" si="23"/>
        <v>0</v>
      </c>
      <c r="L124" s="199">
        <f t="shared" si="24"/>
        <v>1</v>
      </c>
      <c r="M124" s="199">
        <f t="shared" si="25"/>
        <v>1</v>
      </c>
      <c r="N124" s="200">
        <f t="shared" si="26"/>
        <v>0</v>
      </c>
      <c r="O124" s="200">
        <f t="shared" si="27"/>
        <v>0</v>
      </c>
      <c r="P124" s="200">
        <f t="shared" si="20"/>
        <v>0</v>
      </c>
      <c r="Q124" s="200">
        <f t="shared" si="21"/>
        <v>0</v>
      </c>
      <c r="R124" s="242">
        <f t="shared" si="28"/>
        <v>1</v>
      </c>
      <c r="S124" s="197"/>
      <c r="T124" s="198" t="str">
        <f>IF(ISNA(VLOOKUP(D124,'One year follow-up_inperson'!$C:$C,1,FALSE)),"No","Yes")</f>
        <v>No</v>
      </c>
    </row>
    <row r="125" spans="1:20" ht="96.6" customHeight="1">
      <c r="A125" s="410">
        <v>98</v>
      </c>
      <c r="B125" s="408"/>
      <c r="C125" s="132" t="str">
        <f t="shared" si="18"/>
        <v>255</v>
      </c>
      <c r="D125" s="132">
        <v>2551</v>
      </c>
      <c r="E125" s="389" t="s">
        <v>257</v>
      </c>
      <c r="F125" s="387" t="s">
        <v>2</v>
      </c>
      <c r="G125" s="389">
        <v>17</v>
      </c>
      <c r="H125" s="390" t="s">
        <v>3</v>
      </c>
      <c r="I125" s="296" t="s">
        <v>422</v>
      </c>
      <c r="J125" s="199">
        <f t="shared" si="22"/>
        <v>1</v>
      </c>
      <c r="K125" s="199">
        <f t="shared" si="23"/>
        <v>1</v>
      </c>
      <c r="L125" s="199">
        <f t="shared" si="24"/>
        <v>0</v>
      </c>
      <c r="M125" s="199">
        <f t="shared" si="25"/>
        <v>1</v>
      </c>
      <c r="N125" s="200">
        <f t="shared" si="26"/>
        <v>1</v>
      </c>
      <c r="O125" s="200">
        <f t="shared" si="27"/>
        <v>0</v>
      </c>
      <c r="P125" s="200">
        <f t="shared" si="20"/>
        <v>0</v>
      </c>
      <c r="Q125" s="200">
        <f t="shared" si="21"/>
        <v>0</v>
      </c>
      <c r="R125" s="242">
        <f t="shared" si="28"/>
        <v>1</v>
      </c>
      <c r="S125" s="197"/>
      <c r="T125" s="198" t="str">
        <f>IF(ISNA(VLOOKUP(D125,'One year follow-up_inperson'!$C:$C,1,FALSE)),"No","Yes")</f>
        <v>No</v>
      </c>
    </row>
    <row r="126" spans="1:20" ht="162.6" customHeight="1">
      <c r="A126" s="410">
        <v>99</v>
      </c>
      <c r="B126" s="408"/>
      <c r="C126" s="122" t="str">
        <f t="shared" si="18"/>
        <v>255</v>
      </c>
      <c r="D126" s="122">
        <v>2552</v>
      </c>
      <c r="E126" s="125" t="s">
        <v>258</v>
      </c>
      <c r="F126" s="382" t="s">
        <v>2</v>
      </c>
      <c r="G126" s="125">
        <v>16</v>
      </c>
      <c r="H126" s="296" t="s">
        <v>3</v>
      </c>
      <c r="I126" s="296" t="s">
        <v>299</v>
      </c>
      <c r="J126" s="199">
        <f t="shared" si="22"/>
        <v>0</v>
      </c>
      <c r="K126" s="199">
        <f t="shared" si="23"/>
        <v>1</v>
      </c>
      <c r="L126" s="199">
        <f t="shared" si="24"/>
        <v>0</v>
      </c>
      <c r="M126" s="199">
        <f t="shared" si="25"/>
        <v>1</v>
      </c>
      <c r="N126" s="200">
        <f t="shared" si="26"/>
        <v>0</v>
      </c>
      <c r="O126" s="200">
        <f t="shared" si="27"/>
        <v>0</v>
      </c>
      <c r="P126" s="200">
        <f t="shared" si="20"/>
        <v>0</v>
      </c>
      <c r="Q126" s="200">
        <f t="shared" si="21"/>
        <v>0</v>
      </c>
      <c r="R126" s="242">
        <f t="shared" si="28"/>
        <v>1</v>
      </c>
      <c r="S126" s="197"/>
      <c r="T126" s="198" t="str">
        <f>IF(ISNA(VLOOKUP(D126,'One year follow-up_inperson'!$C:$C,1,FALSE)),"No","Yes")</f>
        <v>No</v>
      </c>
    </row>
    <row r="127" spans="1:20" ht="159.6" customHeight="1">
      <c r="A127" s="410">
        <v>100</v>
      </c>
      <c r="B127" s="408"/>
      <c r="C127" s="122" t="str">
        <f t="shared" si="18"/>
        <v>255</v>
      </c>
      <c r="D127" s="122">
        <v>2553</v>
      </c>
      <c r="E127" s="125" t="s">
        <v>259</v>
      </c>
      <c r="F127" s="382" t="s">
        <v>2</v>
      </c>
      <c r="G127" s="125">
        <v>16</v>
      </c>
      <c r="H127" s="296" t="s">
        <v>3</v>
      </c>
      <c r="I127" s="296" t="s">
        <v>423</v>
      </c>
      <c r="J127" s="199">
        <f t="shared" si="22"/>
        <v>0</v>
      </c>
      <c r="K127" s="199">
        <f t="shared" si="23"/>
        <v>1</v>
      </c>
      <c r="L127" s="199">
        <f t="shared" si="24"/>
        <v>0</v>
      </c>
      <c r="M127" s="199">
        <f t="shared" si="25"/>
        <v>1</v>
      </c>
      <c r="N127" s="200">
        <f t="shared" si="26"/>
        <v>1</v>
      </c>
      <c r="O127" s="200">
        <f t="shared" si="27"/>
        <v>0</v>
      </c>
      <c r="P127" s="200">
        <f t="shared" si="20"/>
        <v>0</v>
      </c>
      <c r="Q127" s="200">
        <f t="shared" si="21"/>
        <v>0</v>
      </c>
      <c r="R127" s="242">
        <f t="shared" si="28"/>
        <v>1</v>
      </c>
      <c r="S127" s="197"/>
      <c r="T127" s="198" t="str">
        <f>IF(ISNA(VLOOKUP(D127,'One year follow-up_inperson'!$C:$C,1,FALSE)),"No","Yes")</f>
        <v>No</v>
      </c>
    </row>
    <row r="128" spans="1:20" ht="120.6" customHeight="1">
      <c r="A128" s="410">
        <v>101</v>
      </c>
      <c r="B128" s="408"/>
      <c r="C128" s="122" t="str">
        <f t="shared" si="18"/>
        <v>255</v>
      </c>
      <c r="D128" s="122">
        <v>2554</v>
      </c>
      <c r="E128" s="125" t="s">
        <v>260</v>
      </c>
      <c r="F128" s="382" t="s">
        <v>2</v>
      </c>
      <c r="G128" s="125">
        <v>19</v>
      </c>
      <c r="H128" s="296" t="s">
        <v>3</v>
      </c>
      <c r="I128" s="296" t="s">
        <v>424</v>
      </c>
      <c r="J128" s="199">
        <f t="shared" si="22"/>
        <v>0</v>
      </c>
      <c r="K128" s="199">
        <f t="shared" si="23"/>
        <v>1</v>
      </c>
      <c r="L128" s="199">
        <f t="shared" si="24"/>
        <v>0</v>
      </c>
      <c r="M128" s="199">
        <f t="shared" si="25"/>
        <v>1</v>
      </c>
      <c r="N128" s="200">
        <f t="shared" si="26"/>
        <v>1</v>
      </c>
      <c r="O128" s="200">
        <f t="shared" si="27"/>
        <v>0</v>
      </c>
      <c r="P128" s="200">
        <f t="shared" si="20"/>
        <v>0</v>
      </c>
      <c r="Q128" s="200">
        <f t="shared" si="21"/>
        <v>0</v>
      </c>
      <c r="R128" s="242">
        <f t="shared" si="28"/>
        <v>1</v>
      </c>
      <c r="S128" s="197"/>
      <c r="T128" s="198" t="str">
        <f>IF(ISNA(VLOOKUP(D128,'One year follow-up_inperson'!$C:$C,1,FALSE)),"No","Yes")</f>
        <v>No</v>
      </c>
    </row>
    <row r="129" spans="1:20" ht="92.4" customHeight="1">
      <c r="A129" s="410">
        <v>102</v>
      </c>
      <c r="B129" s="408"/>
      <c r="C129" s="122" t="str">
        <f t="shared" si="18"/>
        <v>255</v>
      </c>
      <c r="D129" s="122">
        <v>2555</v>
      </c>
      <c r="E129" s="296" t="s">
        <v>261</v>
      </c>
      <c r="F129" s="382" t="s">
        <v>2</v>
      </c>
      <c r="G129" s="125">
        <v>18</v>
      </c>
      <c r="H129" s="296" t="s">
        <v>3</v>
      </c>
      <c r="I129" s="296" t="s">
        <v>425</v>
      </c>
      <c r="J129" s="199">
        <f t="shared" si="22"/>
        <v>1</v>
      </c>
      <c r="K129" s="199">
        <f t="shared" si="23"/>
        <v>0</v>
      </c>
      <c r="L129" s="199">
        <f t="shared" si="24"/>
        <v>0</v>
      </c>
      <c r="M129" s="199">
        <f t="shared" si="25"/>
        <v>1</v>
      </c>
      <c r="N129" s="200">
        <f t="shared" si="26"/>
        <v>0</v>
      </c>
      <c r="O129" s="200">
        <f t="shared" si="27"/>
        <v>0</v>
      </c>
      <c r="P129" s="200">
        <f t="shared" si="20"/>
        <v>0</v>
      </c>
      <c r="Q129" s="200">
        <f t="shared" si="21"/>
        <v>0</v>
      </c>
      <c r="R129" s="242">
        <f t="shared" si="28"/>
        <v>1</v>
      </c>
      <c r="S129" s="197"/>
      <c r="T129" s="198" t="str">
        <f>IF(ISNA(VLOOKUP(D129,'One year follow-up_inperson'!$C:$C,1,FALSE)),"No","Yes")</f>
        <v>No</v>
      </c>
    </row>
    <row r="130" spans="1:20" ht="153.6" customHeight="1">
      <c r="A130" s="410">
        <v>103</v>
      </c>
      <c r="B130" s="408"/>
      <c r="C130" s="122" t="str">
        <f t="shared" si="18"/>
        <v>255</v>
      </c>
      <c r="D130" s="122">
        <v>2556</v>
      </c>
      <c r="E130" s="125" t="s">
        <v>262</v>
      </c>
      <c r="F130" s="382" t="s">
        <v>2</v>
      </c>
      <c r="G130" s="125">
        <v>16</v>
      </c>
      <c r="H130" s="296" t="s">
        <v>3</v>
      </c>
      <c r="I130" s="296" t="s">
        <v>300</v>
      </c>
      <c r="J130" s="199">
        <f t="shared" si="22"/>
        <v>1</v>
      </c>
      <c r="K130" s="199">
        <f t="shared" si="23"/>
        <v>1</v>
      </c>
      <c r="L130" s="199">
        <f t="shared" si="24"/>
        <v>0</v>
      </c>
      <c r="M130" s="199">
        <f t="shared" si="25"/>
        <v>1</v>
      </c>
      <c r="N130" s="200">
        <f t="shared" si="26"/>
        <v>0</v>
      </c>
      <c r="O130" s="200">
        <f t="shared" si="27"/>
        <v>0</v>
      </c>
      <c r="P130" s="200">
        <f t="shared" si="20"/>
        <v>0</v>
      </c>
      <c r="Q130" s="200">
        <f t="shared" si="21"/>
        <v>0</v>
      </c>
      <c r="R130" s="242">
        <f t="shared" si="28"/>
        <v>1</v>
      </c>
      <c r="S130" s="197"/>
      <c r="T130" s="198" t="str">
        <f>IF(ISNA(VLOOKUP(D130,'One year follow-up_inperson'!$C:$C,1,FALSE)),"No","Yes")</f>
        <v>No</v>
      </c>
    </row>
    <row r="131" spans="1:20" ht="177.6" customHeight="1">
      <c r="A131" s="410">
        <v>104</v>
      </c>
      <c r="B131" s="408"/>
      <c r="C131" s="122" t="str">
        <f t="shared" si="18"/>
        <v>255</v>
      </c>
      <c r="D131" s="122">
        <v>2557</v>
      </c>
      <c r="E131" s="125" t="s">
        <v>263</v>
      </c>
      <c r="F131" s="382" t="s">
        <v>2</v>
      </c>
      <c r="G131" s="125">
        <v>18</v>
      </c>
      <c r="H131" s="296" t="s">
        <v>3</v>
      </c>
      <c r="I131" s="296" t="s">
        <v>426</v>
      </c>
      <c r="J131" s="199">
        <f t="shared" si="22"/>
        <v>0</v>
      </c>
      <c r="K131" s="199">
        <f t="shared" si="23"/>
        <v>1</v>
      </c>
      <c r="L131" s="199">
        <f t="shared" si="24"/>
        <v>0</v>
      </c>
      <c r="M131" s="199">
        <f t="shared" si="25"/>
        <v>1</v>
      </c>
      <c r="N131" s="200">
        <f t="shared" si="26"/>
        <v>1</v>
      </c>
      <c r="O131" s="200">
        <f t="shared" si="27"/>
        <v>0</v>
      </c>
      <c r="P131" s="200">
        <f t="shared" si="20"/>
        <v>0</v>
      </c>
      <c r="Q131" s="200">
        <f t="shared" si="21"/>
        <v>0</v>
      </c>
      <c r="R131" s="242">
        <f t="shared" si="28"/>
        <v>1</v>
      </c>
      <c r="S131" s="197"/>
      <c r="T131" s="198" t="str">
        <f>IF(ISNA(VLOOKUP(D131,'One year follow-up_inperson'!$C:$C,1,FALSE)),"No","Yes")</f>
        <v>No</v>
      </c>
    </row>
    <row r="132" spans="1:20" ht="148.19999999999999" customHeight="1">
      <c r="A132" s="410">
        <v>105</v>
      </c>
      <c r="B132" s="408"/>
      <c r="C132" s="122" t="str">
        <f t="shared" si="18"/>
        <v>255</v>
      </c>
      <c r="D132" s="122">
        <v>2558</v>
      </c>
      <c r="E132" s="125" t="s">
        <v>264</v>
      </c>
      <c r="F132" s="382" t="s">
        <v>2</v>
      </c>
      <c r="G132" s="125">
        <v>16</v>
      </c>
      <c r="H132" s="296" t="s">
        <v>3</v>
      </c>
      <c r="I132" s="296" t="s">
        <v>427</v>
      </c>
      <c r="J132" s="199">
        <f t="shared" si="22"/>
        <v>1</v>
      </c>
      <c r="K132" s="199">
        <f t="shared" si="23"/>
        <v>0</v>
      </c>
      <c r="L132" s="199">
        <f t="shared" si="24"/>
        <v>0</v>
      </c>
      <c r="M132" s="199">
        <f t="shared" si="25"/>
        <v>1</v>
      </c>
      <c r="N132" s="200">
        <f t="shared" si="26"/>
        <v>0</v>
      </c>
      <c r="O132" s="200">
        <f t="shared" si="27"/>
        <v>0</v>
      </c>
      <c r="P132" s="200">
        <f t="shared" si="20"/>
        <v>0</v>
      </c>
      <c r="Q132" s="200">
        <f t="shared" si="21"/>
        <v>0</v>
      </c>
      <c r="R132" s="242">
        <f t="shared" si="28"/>
        <v>1</v>
      </c>
      <c r="S132" s="197"/>
      <c r="T132" s="198" t="str">
        <f>IF(ISNA(VLOOKUP(D132,'One year follow-up_inperson'!$C:$C,1,FALSE)),"No","Yes")</f>
        <v>No</v>
      </c>
    </row>
    <row r="133" spans="1:20" ht="121.2" customHeight="1">
      <c r="A133" s="410">
        <v>106</v>
      </c>
      <c r="B133" s="408"/>
      <c r="C133" s="122" t="str">
        <f t="shared" si="18"/>
        <v>255</v>
      </c>
      <c r="D133" s="122">
        <v>2559</v>
      </c>
      <c r="E133" s="125" t="s">
        <v>265</v>
      </c>
      <c r="F133" s="382" t="s">
        <v>2</v>
      </c>
      <c r="G133" s="125">
        <v>16</v>
      </c>
      <c r="H133" s="296" t="s">
        <v>3</v>
      </c>
      <c r="I133" s="296" t="s">
        <v>428</v>
      </c>
      <c r="J133" s="199">
        <f t="shared" si="22"/>
        <v>0</v>
      </c>
      <c r="K133" s="199">
        <f t="shared" si="23"/>
        <v>1</v>
      </c>
      <c r="L133" s="199">
        <f t="shared" si="24"/>
        <v>0</v>
      </c>
      <c r="M133" s="199">
        <f t="shared" si="25"/>
        <v>1</v>
      </c>
      <c r="N133" s="200">
        <f t="shared" si="26"/>
        <v>1</v>
      </c>
      <c r="O133" s="200">
        <f t="shared" si="27"/>
        <v>0</v>
      </c>
      <c r="P133" s="200">
        <f t="shared" si="20"/>
        <v>0</v>
      </c>
      <c r="Q133" s="200">
        <f t="shared" si="21"/>
        <v>0</v>
      </c>
      <c r="R133" s="242">
        <f t="shared" si="28"/>
        <v>1</v>
      </c>
      <c r="S133" s="197"/>
      <c r="T133" s="198" t="str">
        <f>IF(ISNA(VLOOKUP(D133,'One year follow-up_inperson'!$C:$C,1,FALSE)),"No","Yes")</f>
        <v>No</v>
      </c>
    </row>
    <row r="134" spans="1:20" ht="209.4" customHeight="1">
      <c r="A134" s="410">
        <v>107</v>
      </c>
      <c r="B134" s="408"/>
      <c r="C134" s="122" t="str">
        <f t="shared" si="18"/>
        <v>255</v>
      </c>
      <c r="D134" s="122">
        <v>25510</v>
      </c>
      <c r="E134" s="125" t="s">
        <v>266</v>
      </c>
      <c r="F134" s="382" t="s">
        <v>2</v>
      </c>
      <c r="G134" s="125">
        <v>16</v>
      </c>
      <c r="H134" s="296" t="s">
        <v>3</v>
      </c>
      <c r="I134" s="296" t="s">
        <v>301</v>
      </c>
      <c r="J134" s="199">
        <f t="shared" si="22"/>
        <v>1</v>
      </c>
      <c r="K134" s="199">
        <f t="shared" si="23"/>
        <v>0</v>
      </c>
      <c r="L134" s="199">
        <f t="shared" si="24"/>
        <v>1</v>
      </c>
      <c r="M134" s="199">
        <f t="shared" si="25"/>
        <v>1</v>
      </c>
      <c r="N134" s="200">
        <f t="shared" si="26"/>
        <v>0</v>
      </c>
      <c r="O134" s="200">
        <f t="shared" si="27"/>
        <v>0</v>
      </c>
      <c r="P134" s="200">
        <f t="shared" si="20"/>
        <v>0</v>
      </c>
      <c r="Q134" s="200">
        <f t="shared" si="21"/>
        <v>0</v>
      </c>
      <c r="R134" s="242">
        <f t="shared" si="28"/>
        <v>1</v>
      </c>
      <c r="S134" s="197"/>
      <c r="T134" s="198" t="str">
        <f>IF(ISNA(VLOOKUP(D134,'One year follow-up_inperson'!$C:$C,1,FALSE)),"No","Yes")</f>
        <v>No</v>
      </c>
    </row>
    <row r="135" spans="1:20" ht="165.6">
      <c r="A135" s="410">
        <v>108</v>
      </c>
      <c r="B135" s="408"/>
      <c r="C135" s="122" t="str">
        <f t="shared" si="18"/>
        <v>255</v>
      </c>
      <c r="D135" s="122">
        <v>25511</v>
      </c>
      <c r="E135" s="125" t="s">
        <v>267</v>
      </c>
      <c r="F135" s="382" t="s">
        <v>2</v>
      </c>
      <c r="G135" s="125">
        <v>17</v>
      </c>
      <c r="H135" s="296" t="s">
        <v>3</v>
      </c>
      <c r="I135" s="296" t="s">
        <v>302</v>
      </c>
      <c r="J135" s="199">
        <f t="shared" si="22"/>
        <v>0</v>
      </c>
      <c r="K135" s="199">
        <f t="shared" si="23"/>
        <v>1</v>
      </c>
      <c r="L135" s="199">
        <f t="shared" si="24"/>
        <v>0</v>
      </c>
      <c r="M135" s="199">
        <f t="shared" si="25"/>
        <v>1</v>
      </c>
      <c r="N135" s="200">
        <f t="shared" si="26"/>
        <v>0</v>
      </c>
      <c r="O135" s="200">
        <f t="shared" si="27"/>
        <v>0</v>
      </c>
      <c r="P135" s="200">
        <f t="shared" si="20"/>
        <v>0</v>
      </c>
      <c r="Q135" s="200">
        <f t="shared" si="21"/>
        <v>0</v>
      </c>
      <c r="R135" s="242">
        <f t="shared" si="28"/>
        <v>1</v>
      </c>
      <c r="S135" s="197"/>
      <c r="T135" s="198" t="str">
        <f>IF(ISNA(VLOOKUP(D135,'One year follow-up_inperson'!$C:$C,1,FALSE)),"No","Yes")</f>
        <v>No</v>
      </c>
    </row>
    <row r="136" spans="1:20" ht="133.19999999999999" customHeight="1">
      <c r="A136" s="410">
        <v>109</v>
      </c>
      <c r="B136" s="408"/>
      <c r="C136" s="122" t="str">
        <f t="shared" si="18"/>
        <v>255</v>
      </c>
      <c r="D136" s="122">
        <v>25512</v>
      </c>
      <c r="E136" s="125" t="s">
        <v>268</v>
      </c>
      <c r="F136" s="382" t="s">
        <v>2</v>
      </c>
      <c r="G136" s="125">
        <v>17</v>
      </c>
      <c r="H136" s="296" t="s">
        <v>3</v>
      </c>
      <c r="I136" s="296" t="s">
        <v>303</v>
      </c>
      <c r="J136" s="199">
        <f t="shared" si="22"/>
        <v>1</v>
      </c>
      <c r="K136" s="199">
        <f t="shared" si="23"/>
        <v>1</v>
      </c>
      <c r="L136" s="199">
        <f t="shared" si="24"/>
        <v>0</v>
      </c>
      <c r="M136" s="199">
        <f t="shared" si="25"/>
        <v>1</v>
      </c>
      <c r="N136" s="200">
        <f t="shared" si="26"/>
        <v>0</v>
      </c>
      <c r="O136" s="200">
        <f t="shared" si="27"/>
        <v>0</v>
      </c>
      <c r="P136" s="200">
        <f t="shared" si="20"/>
        <v>0</v>
      </c>
      <c r="Q136" s="200">
        <f t="shared" si="21"/>
        <v>0</v>
      </c>
      <c r="R136" s="242">
        <f t="shared" si="28"/>
        <v>1</v>
      </c>
      <c r="S136" s="197"/>
      <c r="T136" s="198" t="str">
        <f>IF(ISNA(VLOOKUP(D136,'One year follow-up_inperson'!$C:$C,1,FALSE)),"No","Yes")</f>
        <v>No</v>
      </c>
    </row>
    <row r="137" spans="1:20" ht="205.2" customHeight="1">
      <c r="A137" s="410">
        <v>110</v>
      </c>
      <c r="B137" s="408"/>
      <c r="C137" s="122" t="str">
        <f t="shared" si="18"/>
        <v>255</v>
      </c>
      <c r="D137" s="122">
        <v>25513</v>
      </c>
      <c r="E137" s="125" t="s">
        <v>269</v>
      </c>
      <c r="F137" s="382" t="s">
        <v>2</v>
      </c>
      <c r="G137" s="125">
        <v>17</v>
      </c>
      <c r="H137" s="296" t="s">
        <v>3</v>
      </c>
      <c r="I137" s="296" t="s">
        <v>429</v>
      </c>
      <c r="J137" s="199">
        <f t="shared" si="22"/>
        <v>1</v>
      </c>
      <c r="K137" s="199">
        <f t="shared" si="23"/>
        <v>1</v>
      </c>
      <c r="L137" s="199">
        <f t="shared" si="24"/>
        <v>0</v>
      </c>
      <c r="M137" s="199">
        <f t="shared" si="25"/>
        <v>1</v>
      </c>
      <c r="N137" s="200">
        <f t="shared" si="26"/>
        <v>1</v>
      </c>
      <c r="O137" s="200">
        <f t="shared" si="27"/>
        <v>0</v>
      </c>
      <c r="P137" s="200">
        <f t="shared" si="20"/>
        <v>0</v>
      </c>
      <c r="Q137" s="200">
        <f t="shared" si="21"/>
        <v>0</v>
      </c>
      <c r="R137" s="242">
        <f t="shared" si="28"/>
        <v>1</v>
      </c>
      <c r="S137" s="197"/>
      <c r="T137" s="198" t="str">
        <f>IF(ISNA(VLOOKUP(D137,'One year follow-up_inperson'!$C:$C,1,FALSE)),"No","Yes")</f>
        <v>No</v>
      </c>
    </row>
    <row r="138" spans="1:20" ht="243.6" customHeight="1">
      <c r="A138" s="410">
        <v>111</v>
      </c>
      <c r="B138" s="408"/>
      <c r="C138" s="122" t="str">
        <f t="shared" si="18"/>
        <v>255</v>
      </c>
      <c r="D138" s="122">
        <v>25514</v>
      </c>
      <c r="E138" s="125" t="s">
        <v>270</v>
      </c>
      <c r="F138" s="382" t="s">
        <v>2</v>
      </c>
      <c r="G138" s="125">
        <v>16</v>
      </c>
      <c r="H138" s="296" t="s">
        <v>3</v>
      </c>
      <c r="I138" s="296" t="s">
        <v>430</v>
      </c>
      <c r="J138" s="199">
        <f t="shared" si="22"/>
        <v>0</v>
      </c>
      <c r="K138" s="199">
        <f t="shared" si="23"/>
        <v>1</v>
      </c>
      <c r="L138" s="199">
        <f t="shared" si="24"/>
        <v>0</v>
      </c>
      <c r="M138" s="199">
        <f t="shared" si="25"/>
        <v>1</v>
      </c>
      <c r="N138" s="200">
        <f t="shared" si="26"/>
        <v>1</v>
      </c>
      <c r="O138" s="200">
        <f t="shared" si="27"/>
        <v>0</v>
      </c>
      <c r="P138" s="200">
        <f t="shared" si="20"/>
        <v>0</v>
      </c>
      <c r="Q138" s="200">
        <f t="shared" si="21"/>
        <v>0</v>
      </c>
      <c r="R138" s="242">
        <f t="shared" si="28"/>
        <v>1</v>
      </c>
      <c r="S138" s="197"/>
      <c r="T138" s="198" t="str">
        <f>IF(ISNA(VLOOKUP(D138,'One year follow-up_inperson'!$C:$C,1,FALSE)),"No","Yes")</f>
        <v>No</v>
      </c>
    </row>
    <row r="139" spans="1:20" ht="117" customHeight="1">
      <c r="A139" s="410">
        <v>112</v>
      </c>
      <c r="B139" s="408"/>
      <c r="C139" s="122" t="str">
        <f t="shared" si="18"/>
        <v>255</v>
      </c>
      <c r="D139" s="122">
        <v>25515</v>
      </c>
      <c r="E139" s="125" t="s">
        <v>271</v>
      </c>
      <c r="F139" s="382" t="s">
        <v>2</v>
      </c>
      <c r="G139" s="125">
        <v>18</v>
      </c>
      <c r="H139" s="296" t="s">
        <v>3</v>
      </c>
      <c r="I139" s="296" t="s">
        <v>304</v>
      </c>
      <c r="J139" s="199">
        <f t="shared" si="22"/>
        <v>1</v>
      </c>
      <c r="K139" s="199">
        <f t="shared" si="23"/>
        <v>0</v>
      </c>
      <c r="L139" s="199">
        <f t="shared" si="24"/>
        <v>0</v>
      </c>
      <c r="M139" s="199">
        <f t="shared" si="25"/>
        <v>1</v>
      </c>
      <c r="N139" s="200">
        <f t="shared" si="26"/>
        <v>0</v>
      </c>
      <c r="O139" s="200">
        <f t="shared" si="27"/>
        <v>0</v>
      </c>
      <c r="P139" s="200">
        <f t="shared" si="20"/>
        <v>0</v>
      </c>
      <c r="Q139" s="200">
        <f t="shared" si="21"/>
        <v>0</v>
      </c>
      <c r="R139" s="242">
        <f t="shared" si="28"/>
        <v>1</v>
      </c>
      <c r="S139" s="197"/>
      <c r="T139" s="198" t="str">
        <f>IF(ISNA(VLOOKUP(D139,'One year follow-up_inperson'!$C:$C,1,FALSE)),"No","Yes")</f>
        <v>No</v>
      </c>
    </row>
    <row r="140" spans="1:20" ht="96.6" customHeight="1">
      <c r="A140" s="410">
        <v>113</v>
      </c>
      <c r="B140" s="408"/>
      <c r="C140" s="122" t="str">
        <f t="shared" si="18"/>
        <v>255</v>
      </c>
      <c r="D140" s="122">
        <v>25516</v>
      </c>
      <c r="E140" s="125" t="s">
        <v>272</v>
      </c>
      <c r="F140" s="382" t="s">
        <v>2</v>
      </c>
      <c r="G140" s="125">
        <v>18</v>
      </c>
      <c r="H140" s="296" t="s">
        <v>3</v>
      </c>
      <c r="I140" s="296" t="s">
        <v>431</v>
      </c>
      <c r="J140" s="199">
        <f t="shared" si="22"/>
        <v>0</v>
      </c>
      <c r="K140" s="199">
        <f t="shared" si="23"/>
        <v>1</v>
      </c>
      <c r="L140" s="199">
        <f t="shared" si="24"/>
        <v>0</v>
      </c>
      <c r="M140" s="199">
        <f t="shared" si="25"/>
        <v>1</v>
      </c>
      <c r="N140" s="200">
        <f t="shared" si="26"/>
        <v>1</v>
      </c>
      <c r="O140" s="200">
        <f t="shared" si="27"/>
        <v>0</v>
      </c>
      <c r="P140" s="200">
        <f t="shared" si="20"/>
        <v>0</v>
      </c>
      <c r="Q140" s="200">
        <f t="shared" si="21"/>
        <v>0</v>
      </c>
      <c r="R140" s="242">
        <f t="shared" si="28"/>
        <v>1</v>
      </c>
      <c r="S140" s="197"/>
      <c r="T140" s="198" t="str">
        <f>IF(ISNA(VLOOKUP(D140,'One year follow-up_inperson'!$C:$C,1,FALSE)),"No","Yes")</f>
        <v>No</v>
      </c>
    </row>
    <row r="141" spans="1:20" ht="143.4" customHeight="1">
      <c r="A141" s="410">
        <v>114</v>
      </c>
      <c r="B141" s="408"/>
      <c r="C141" s="122" t="str">
        <f t="shared" si="18"/>
        <v>255</v>
      </c>
      <c r="D141" s="122">
        <v>25517</v>
      </c>
      <c r="E141" s="125" t="s">
        <v>273</v>
      </c>
      <c r="F141" s="382" t="s">
        <v>2</v>
      </c>
      <c r="G141" s="125">
        <v>16</v>
      </c>
      <c r="H141" s="296" t="s">
        <v>3</v>
      </c>
      <c r="I141" s="296" t="s">
        <v>305</v>
      </c>
      <c r="J141" s="199">
        <f t="shared" si="22"/>
        <v>1</v>
      </c>
      <c r="K141" s="199">
        <f t="shared" si="23"/>
        <v>1</v>
      </c>
      <c r="L141" s="199">
        <f t="shared" si="24"/>
        <v>0</v>
      </c>
      <c r="M141" s="199">
        <f t="shared" si="25"/>
        <v>1</v>
      </c>
      <c r="N141" s="200">
        <f t="shared" si="26"/>
        <v>0</v>
      </c>
      <c r="O141" s="200">
        <f t="shared" si="27"/>
        <v>0</v>
      </c>
      <c r="P141" s="200">
        <f t="shared" si="20"/>
        <v>0</v>
      </c>
      <c r="Q141" s="200">
        <f t="shared" si="21"/>
        <v>0</v>
      </c>
      <c r="R141" s="242">
        <f t="shared" si="28"/>
        <v>1</v>
      </c>
      <c r="S141" s="197"/>
      <c r="T141" s="198" t="str">
        <f>IF(ISNA(VLOOKUP(D141,'One year follow-up_inperson'!$C:$C,1,FALSE)),"No","Yes")</f>
        <v>No</v>
      </c>
    </row>
    <row r="142" spans="1:20" ht="210" customHeight="1">
      <c r="A142" s="410">
        <v>115</v>
      </c>
      <c r="B142" s="408"/>
      <c r="C142" s="122" t="str">
        <f t="shared" si="18"/>
        <v>255</v>
      </c>
      <c r="D142" s="122">
        <v>25518</v>
      </c>
      <c r="E142" s="125" t="s">
        <v>274</v>
      </c>
      <c r="F142" s="382" t="s">
        <v>2</v>
      </c>
      <c r="G142" s="125">
        <v>17</v>
      </c>
      <c r="H142" s="296" t="s">
        <v>3</v>
      </c>
      <c r="I142" s="296" t="s">
        <v>432</v>
      </c>
      <c r="J142" s="199">
        <f t="shared" si="22"/>
        <v>1</v>
      </c>
      <c r="K142" s="199">
        <f t="shared" si="23"/>
        <v>1</v>
      </c>
      <c r="L142" s="199">
        <f t="shared" si="24"/>
        <v>1</v>
      </c>
      <c r="M142" s="199">
        <f t="shared" si="25"/>
        <v>1</v>
      </c>
      <c r="N142" s="200">
        <f t="shared" si="26"/>
        <v>1</v>
      </c>
      <c r="O142" s="200">
        <f t="shared" si="27"/>
        <v>0</v>
      </c>
      <c r="P142" s="200">
        <f t="shared" si="20"/>
        <v>0</v>
      </c>
      <c r="Q142" s="200">
        <f t="shared" si="21"/>
        <v>0</v>
      </c>
      <c r="R142" s="242">
        <f t="shared" si="28"/>
        <v>1</v>
      </c>
      <c r="S142" s="197"/>
      <c r="T142" s="198" t="str">
        <f>IF(ISNA(VLOOKUP(D142,'One year follow-up_inperson'!$C:$C,1,FALSE)),"No","Yes")</f>
        <v>No</v>
      </c>
    </row>
    <row r="143" spans="1:20" ht="180" customHeight="1">
      <c r="A143" s="410">
        <v>116</v>
      </c>
      <c r="B143" s="408"/>
      <c r="C143" s="122" t="str">
        <f t="shared" si="18"/>
        <v>255</v>
      </c>
      <c r="D143" s="122">
        <v>25521</v>
      </c>
      <c r="E143" s="125" t="s">
        <v>275</v>
      </c>
      <c r="F143" s="382" t="s">
        <v>2</v>
      </c>
      <c r="G143" s="125">
        <v>16</v>
      </c>
      <c r="H143" s="296" t="s">
        <v>3</v>
      </c>
      <c r="I143" s="296" t="s">
        <v>433</v>
      </c>
      <c r="J143" s="199">
        <f t="shared" si="22"/>
        <v>1</v>
      </c>
      <c r="K143" s="199">
        <f t="shared" si="23"/>
        <v>0</v>
      </c>
      <c r="L143" s="199">
        <f t="shared" si="24"/>
        <v>0</v>
      </c>
      <c r="M143" s="199">
        <f t="shared" si="25"/>
        <v>1</v>
      </c>
      <c r="N143" s="200">
        <f t="shared" si="26"/>
        <v>0</v>
      </c>
      <c r="O143" s="200">
        <f t="shared" si="27"/>
        <v>0</v>
      </c>
      <c r="P143" s="200">
        <f t="shared" si="20"/>
        <v>0</v>
      </c>
      <c r="Q143" s="200">
        <f t="shared" si="21"/>
        <v>0</v>
      </c>
      <c r="R143" s="242">
        <f t="shared" si="28"/>
        <v>1</v>
      </c>
      <c r="S143" s="197"/>
      <c r="T143" s="198" t="str">
        <f>IF(ISNA(VLOOKUP(D143,'One year follow-up_inperson'!$C:$C,1,FALSE)),"No","Yes")</f>
        <v>No</v>
      </c>
    </row>
    <row r="144" spans="1:20" ht="208.2" customHeight="1">
      <c r="A144" s="410">
        <v>117</v>
      </c>
      <c r="B144" s="408"/>
      <c r="C144" s="122" t="str">
        <f t="shared" si="18"/>
        <v>255</v>
      </c>
      <c r="D144" s="122">
        <f>D143+1</f>
        <v>25522</v>
      </c>
      <c r="E144" s="125" t="s">
        <v>276</v>
      </c>
      <c r="F144" s="382" t="s">
        <v>2</v>
      </c>
      <c r="G144" s="125">
        <v>17</v>
      </c>
      <c r="H144" s="296" t="s">
        <v>3</v>
      </c>
      <c r="I144" s="296" t="s">
        <v>306</v>
      </c>
      <c r="J144" s="199">
        <f t="shared" si="22"/>
        <v>0</v>
      </c>
      <c r="K144" s="199">
        <f t="shared" si="23"/>
        <v>1</v>
      </c>
      <c r="L144" s="199">
        <f t="shared" si="24"/>
        <v>0</v>
      </c>
      <c r="M144" s="199">
        <f t="shared" si="25"/>
        <v>1</v>
      </c>
      <c r="N144" s="200">
        <f t="shared" si="26"/>
        <v>0</v>
      </c>
      <c r="O144" s="200">
        <f t="shared" si="27"/>
        <v>0</v>
      </c>
      <c r="P144" s="200">
        <f t="shared" si="20"/>
        <v>0</v>
      </c>
      <c r="Q144" s="200">
        <f t="shared" si="21"/>
        <v>0</v>
      </c>
      <c r="R144" s="242">
        <f t="shared" si="28"/>
        <v>1</v>
      </c>
      <c r="S144" s="197"/>
      <c r="T144" s="198" t="str">
        <f>IF(ISNA(VLOOKUP(D144,'One year follow-up_inperson'!$C:$C,1,FALSE)),"No","Yes")</f>
        <v>No</v>
      </c>
    </row>
    <row r="145" spans="1:20" ht="145.80000000000001" customHeight="1">
      <c r="A145" s="410">
        <v>118</v>
      </c>
      <c r="B145" s="408"/>
      <c r="C145" s="122" t="str">
        <f t="shared" si="18"/>
        <v>255</v>
      </c>
      <c r="D145" s="122">
        <v>25522</v>
      </c>
      <c r="E145" s="125" t="s">
        <v>277</v>
      </c>
      <c r="F145" s="382" t="s">
        <v>2</v>
      </c>
      <c r="G145" s="125">
        <v>19</v>
      </c>
      <c r="H145" s="296" t="s">
        <v>3</v>
      </c>
      <c r="I145" s="296" t="s">
        <v>307</v>
      </c>
      <c r="J145" s="199">
        <f t="shared" si="22"/>
        <v>1</v>
      </c>
      <c r="K145" s="199">
        <f t="shared" si="23"/>
        <v>0</v>
      </c>
      <c r="L145" s="199">
        <f t="shared" si="24"/>
        <v>0</v>
      </c>
      <c r="M145" s="199">
        <f t="shared" si="25"/>
        <v>1</v>
      </c>
      <c r="N145" s="200">
        <f t="shared" si="26"/>
        <v>0</v>
      </c>
      <c r="O145" s="200">
        <f t="shared" si="27"/>
        <v>0</v>
      </c>
      <c r="P145" s="200">
        <f t="shared" si="20"/>
        <v>0</v>
      </c>
      <c r="Q145" s="200">
        <f t="shared" si="21"/>
        <v>0</v>
      </c>
      <c r="R145" s="242">
        <f t="shared" si="28"/>
        <v>1</v>
      </c>
      <c r="S145" s="197"/>
      <c r="T145" s="198" t="str">
        <f>IF(ISNA(VLOOKUP(D145,'One year follow-up_inperson'!$C:$C,1,FALSE)),"No","Yes")</f>
        <v>No</v>
      </c>
    </row>
    <row r="146" spans="1:20" ht="124.2" customHeight="1">
      <c r="A146" s="410">
        <v>119</v>
      </c>
      <c r="B146" s="408"/>
      <c r="C146" s="122" t="str">
        <f t="shared" si="18"/>
        <v>255</v>
      </c>
      <c r="D146" s="122">
        <f t="shared" ref="D146" si="29">D145+1</f>
        <v>25523</v>
      </c>
      <c r="E146" s="125" t="s">
        <v>278</v>
      </c>
      <c r="F146" s="382" t="s">
        <v>2</v>
      </c>
      <c r="G146" s="125">
        <v>15</v>
      </c>
      <c r="H146" s="296" t="s">
        <v>3</v>
      </c>
      <c r="I146" s="296" t="s">
        <v>308</v>
      </c>
      <c r="J146" s="199">
        <f t="shared" si="22"/>
        <v>1</v>
      </c>
      <c r="K146" s="199">
        <f t="shared" si="23"/>
        <v>1</v>
      </c>
      <c r="L146" s="199">
        <f t="shared" si="24"/>
        <v>0</v>
      </c>
      <c r="M146" s="199">
        <f t="shared" si="25"/>
        <v>1</v>
      </c>
      <c r="N146" s="200">
        <f t="shared" si="26"/>
        <v>1</v>
      </c>
      <c r="O146" s="200">
        <f t="shared" si="27"/>
        <v>0</v>
      </c>
      <c r="P146" s="200">
        <f t="shared" si="20"/>
        <v>0</v>
      </c>
      <c r="Q146" s="200">
        <f t="shared" si="21"/>
        <v>0</v>
      </c>
      <c r="R146" s="242">
        <f t="shared" si="28"/>
        <v>1</v>
      </c>
      <c r="S146" s="197"/>
      <c r="T146" s="198" t="str">
        <f>IF(ISNA(VLOOKUP(D146,'One year follow-up_inperson'!$C:$C,1,FALSE)),"No","Yes")</f>
        <v>No</v>
      </c>
    </row>
    <row r="147" spans="1:20" ht="166.2" customHeight="1">
      <c r="A147" s="410">
        <v>120</v>
      </c>
      <c r="B147" s="408"/>
      <c r="C147" s="122" t="str">
        <f t="shared" si="18"/>
        <v>255</v>
      </c>
      <c r="D147" s="122">
        <v>25523</v>
      </c>
      <c r="E147" s="125" t="s">
        <v>279</v>
      </c>
      <c r="F147" s="382" t="s">
        <v>2</v>
      </c>
      <c r="G147" s="125">
        <v>19</v>
      </c>
      <c r="H147" s="296" t="s">
        <v>3</v>
      </c>
      <c r="I147" s="296" t="s">
        <v>434</v>
      </c>
      <c r="J147" s="199">
        <f t="shared" si="22"/>
        <v>0</v>
      </c>
      <c r="K147" s="199">
        <f t="shared" si="23"/>
        <v>1</v>
      </c>
      <c r="L147" s="199">
        <f t="shared" si="24"/>
        <v>0</v>
      </c>
      <c r="M147" s="199">
        <f t="shared" si="25"/>
        <v>1</v>
      </c>
      <c r="N147" s="200">
        <f t="shared" si="26"/>
        <v>1</v>
      </c>
      <c r="O147" s="200">
        <f t="shared" si="27"/>
        <v>0</v>
      </c>
      <c r="P147" s="200">
        <f t="shared" si="20"/>
        <v>0</v>
      </c>
      <c r="Q147" s="200">
        <f t="shared" si="21"/>
        <v>0</v>
      </c>
      <c r="R147" s="242">
        <f t="shared" si="28"/>
        <v>1</v>
      </c>
      <c r="S147" s="197"/>
      <c r="T147" s="198" t="str">
        <f>IF(ISNA(VLOOKUP(D147,'One year follow-up_inperson'!$C:$C,1,FALSE)),"No","Yes")</f>
        <v>No</v>
      </c>
    </row>
    <row r="148" spans="1:20" ht="124.8" customHeight="1">
      <c r="A148" s="410">
        <v>121</v>
      </c>
      <c r="B148" s="408"/>
      <c r="C148" s="122" t="str">
        <f t="shared" ref="C148:C188" si="30">LEFT(D148,3)</f>
        <v>255</v>
      </c>
      <c r="D148" s="122">
        <f t="shared" ref="D148" si="31">D147+1</f>
        <v>25524</v>
      </c>
      <c r="E148" s="125" t="s">
        <v>280</v>
      </c>
      <c r="F148" s="382" t="s">
        <v>2</v>
      </c>
      <c r="G148" s="125">
        <v>16</v>
      </c>
      <c r="H148" s="296" t="s">
        <v>3</v>
      </c>
      <c r="I148" s="296" t="s">
        <v>309</v>
      </c>
      <c r="J148" s="199">
        <f t="shared" si="22"/>
        <v>1</v>
      </c>
      <c r="K148" s="199">
        <f t="shared" si="23"/>
        <v>1</v>
      </c>
      <c r="L148" s="199">
        <f t="shared" si="24"/>
        <v>0</v>
      </c>
      <c r="M148" s="199">
        <f t="shared" si="25"/>
        <v>1</v>
      </c>
      <c r="N148" s="200">
        <f t="shared" si="26"/>
        <v>0</v>
      </c>
      <c r="O148" s="200">
        <f t="shared" si="27"/>
        <v>0</v>
      </c>
      <c r="P148" s="200">
        <f t="shared" si="20"/>
        <v>0</v>
      </c>
      <c r="Q148" s="200">
        <f t="shared" si="21"/>
        <v>0</v>
      </c>
      <c r="R148" s="242">
        <f t="shared" si="28"/>
        <v>1</v>
      </c>
      <c r="S148" s="197"/>
      <c r="T148" s="198" t="str">
        <f>IF(ISNA(VLOOKUP(D148,'One year follow-up_inperson'!$C:$C,1,FALSE)),"No","Yes")</f>
        <v>No</v>
      </c>
    </row>
    <row r="149" spans="1:20" ht="122.4" customHeight="1">
      <c r="A149" s="410">
        <v>122</v>
      </c>
      <c r="B149" s="408"/>
      <c r="C149" s="122" t="str">
        <f t="shared" si="30"/>
        <v>255</v>
      </c>
      <c r="D149" s="122">
        <v>25524</v>
      </c>
      <c r="E149" s="125" t="s">
        <v>281</v>
      </c>
      <c r="F149" s="382" t="s">
        <v>2</v>
      </c>
      <c r="G149" s="125">
        <v>18</v>
      </c>
      <c r="H149" s="296" t="s">
        <v>3</v>
      </c>
      <c r="I149" s="296" t="s">
        <v>435</v>
      </c>
      <c r="J149" s="199">
        <f t="shared" si="22"/>
        <v>0</v>
      </c>
      <c r="K149" s="199">
        <f t="shared" si="23"/>
        <v>1</v>
      </c>
      <c r="L149" s="199">
        <f t="shared" si="24"/>
        <v>0</v>
      </c>
      <c r="M149" s="199">
        <f t="shared" si="25"/>
        <v>1</v>
      </c>
      <c r="N149" s="200">
        <f t="shared" si="26"/>
        <v>1</v>
      </c>
      <c r="O149" s="200">
        <f t="shared" si="27"/>
        <v>0</v>
      </c>
      <c r="P149" s="200">
        <f t="shared" si="20"/>
        <v>0</v>
      </c>
      <c r="Q149" s="200">
        <f t="shared" si="21"/>
        <v>0</v>
      </c>
      <c r="R149" s="242">
        <f t="shared" si="28"/>
        <v>1</v>
      </c>
      <c r="S149" s="197"/>
      <c r="T149" s="198" t="str">
        <f>IF(ISNA(VLOOKUP(D149,'One year follow-up_inperson'!$C:$C,1,FALSE)),"No","Yes")</f>
        <v>No</v>
      </c>
    </row>
    <row r="150" spans="1:20" ht="126" customHeight="1">
      <c r="A150" s="410">
        <v>123</v>
      </c>
      <c r="B150" s="408"/>
      <c r="C150" s="122" t="str">
        <f t="shared" si="30"/>
        <v>255</v>
      </c>
      <c r="D150" s="122">
        <f t="shared" ref="D150" si="32">D149+1</f>
        <v>25525</v>
      </c>
      <c r="E150" s="125" t="s">
        <v>282</v>
      </c>
      <c r="F150" s="382" t="s">
        <v>2</v>
      </c>
      <c r="G150" s="125">
        <v>17</v>
      </c>
      <c r="H150" s="296" t="s">
        <v>3</v>
      </c>
      <c r="I150" s="296" t="s">
        <v>436</v>
      </c>
      <c r="J150" s="199">
        <f t="shared" si="22"/>
        <v>1</v>
      </c>
      <c r="K150" s="199">
        <f t="shared" si="23"/>
        <v>1</v>
      </c>
      <c r="L150" s="199">
        <f t="shared" si="24"/>
        <v>0</v>
      </c>
      <c r="M150" s="199">
        <f t="shared" si="25"/>
        <v>1</v>
      </c>
      <c r="N150" s="200">
        <f t="shared" si="26"/>
        <v>1</v>
      </c>
      <c r="O150" s="200">
        <f t="shared" si="27"/>
        <v>0</v>
      </c>
      <c r="P150" s="200">
        <f t="shared" si="20"/>
        <v>0</v>
      </c>
      <c r="Q150" s="200">
        <f t="shared" si="21"/>
        <v>0</v>
      </c>
      <c r="R150" s="242">
        <f t="shared" si="28"/>
        <v>1</v>
      </c>
      <c r="S150" s="197"/>
      <c r="T150" s="198" t="str">
        <f>IF(ISNA(VLOOKUP(D150,'One year follow-up_inperson'!$C:$C,1,FALSE)),"No","Yes")</f>
        <v>No</v>
      </c>
    </row>
    <row r="151" spans="1:20" ht="128.4" customHeight="1">
      <c r="A151" s="410">
        <v>124</v>
      </c>
      <c r="B151" s="408"/>
      <c r="C151" s="122" t="str">
        <f t="shared" si="30"/>
        <v>255</v>
      </c>
      <c r="D151" s="122">
        <v>25525</v>
      </c>
      <c r="E151" s="125" t="s">
        <v>283</v>
      </c>
      <c r="F151" s="382" t="s">
        <v>2</v>
      </c>
      <c r="G151" s="125">
        <v>14</v>
      </c>
      <c r="H151" s="296" t="s">
        <v>3</v>
      </c>
      <c r="I151" s="296" t="s">
        <v>310</v>
      </c>
      <c r="J151" s="199">
        <f t="shared" si="22"/>
        <v>1</v>
      </c>
      <c r="K151" s="199">
        <f t="shared" si="23"/>
        <v>0</v>
      </c>
      <c r="L151" s="199">
        <f t="shared" si="24"/>
        <v>0</v>
      </c>
      <c r="M151" s="199">
        <f t="shared" si="25"/>
        <v>1</v>
      </c>
      <c r="N151" s="200">
        <f t="shared" si="26"/>
        <v>0</v>
      </c>
      <c r="O151" s="200">
        <f t="shared" si="27"/>
        <v>0</v>
      </c>
      <c r="P151" s="200">
        <f t="shared" si="20"/>
        <v>0</v>
      </c>
      <c r="Q151" s="200">
        <f t="shared" si="21"/>
        <v>0</v>
      </c>
      <c r="R151" s="242">
        <f t="shared" si="28"/>
        <v>1</v>
      </c>
      <c r="S151" s="197"/>
      <c r="T151" s="198" t="str">
        <f>IF(ISNA(VLOOKUP(D151,'One year follow-up_inperson'!$C:$C,1,FALSE)),"No","Yes")</f>
        <v>No</v>
      </c>
    </row>
    <row r="152" spans="1:20" ht="160.80000000000001" customHeight="1">
      <c r="A152" s="410">
        <v>125</v>
      </c>
      <c r="B152" s="408"/>
      <c r="C152" s="122" t="str">
        <f t="shared" si="30"/>
        <v>255</v>
      </c>
      <c r="D152" s="122">
        <f t="shared" ref="D152" si="33">D151+1</f>
        <v>25526</v>
      </c>
      <c r="E152" s="125" t="s">
        <v>284</v>
      </c>
      <c r="F152" s="382" t="s">
        <v>2</v>
      </c>
      <c r="G152" s="125">
        <v>19</v>
      </c>
      <c r="H152" s="296" t="s">
        <v>3</v>
      </c>
      <c r="I152" s="296" t="s">
        <v>311</v>
      </c>
      <c r="J152" s="199">
        <f t="shared" si="22"/>
        <v>1</v>
      </c>
      <c r="K152" s="199">
        <f t="shared" si="23"/>
        <v>1</v>
      </c>
      <c r="L152" s="199">
        <f t="shared" si="24"/>
        <v>0</v>
      </c>
      <c r="M152" s="199">
        <f t="shared" si="25"/>
        <v>1</v>
      </c>
      <c r="N152" s="200">
        <f t="shared" si="26"/>
        <v>0</v>
      </c>
      <c r="O152" s="200">
        <f t="shared" si="27"/>
        <v>0</v>
      </c>
      <c r="P152" s="200">
        <f t="shared" si="20"/>
        <v>0</v>
      </c>
      <c r="Q152" s="200">
        <f t="shared" si="21"/>
        <v>0</v>
      </c>
      <c r="R152" s="242">
        <f t="shared" si="28"/>
        <v>1</v>
      </c>
      <c r="S152" s="197"/>
      <c r="T152" s="198" t="str">
        <f>IF(ISNA(VLOOKUP(D152,'One year follow-up_inperson'!$C:$C,1,FALSE)),"No","Yes")</f>
        <v>No</v>
      </c>
    </row>
    <row r="153" spans="1:20" ht="136.19999999999999" customHeight="1">
      <c r="A153" s="410">
        <v>126</v>
      </c>
      <c r="B153" s="408"/>
      <c r="C153" s="122" t="str">
        <f t="shared" si="30"/>
        <v>255</v>
      </c>
      <c r="D153" s="122">
        <v>25526</v>
      </c>
      <c r="E153" s="125" t="s">
        <v>285</v>
      </c>
      <c r="F153" s="382" t="s">
        <v>2</v>
      </c>
      <c r="G153" s="125">
        <v>17</v>
      </c>
      <c r="H153" s="296" t="s">
        <v>3</v>
      </c>
      <c r="I153" s="136" t="s">
        <v>312</v>
      </c>
      <c r="J153" s="199">
        <f t="shared" si="22"/>
        <v>0</v>
      </c>
      <c r="K153" s="199">
        <f t="shared" si="23"/>
        <v>0</v>
      </c>
      <c r="L153" s="199">
        <f t="shared" si="24"/>
        <v>0</v>
      </c>
      <c r="M153" s="199">
        <f t="shared" si="25"/>
        <v>0</v>
      </c>
      <c r="N153" s="200">
        <f t="shared" si="26"/>
        <v>0</v>
      </c>
      <c r="O153" s="200">
        <f t="shared" si="27"/>
        <v>0</v>
      </c>
      <c r="P153" s="200">
        <f t="shared" si="20"/>
        <v>0</v>
      </c>
      <c r="Q153" s="200">
        <f t="shared" si="21"/>
        <v>0</v>
      </c>
      <c r="R153" s="242">
        <f t="shared" si="28"/>
        <v>0</v>
      </c>
      <c r="S153" s="197"/>
      <c r="T153" s="198" t="str">
        <f>IF(ISNA(VLOOKUP(D153,'One year follow-up_inperson'!$C:$C,1,FALSE)),"No","Yes")</f>
        <v>No</v>
      </c>
    </row>
    <row r="154" spans="1:20" ht="102.6" customHeight="1">
      <c r="A154" s="410">
        <v>127</v>
      </c>
      <c r="B154" s="408"/>
      <c r="C154" s="122" t="str">
        <f t="shared" si="30"/>
        <v>255</v>
      </c>
      <c r="D154" s="122">
        <f t="shared" ref="D154" si="34">D153+1</f>
        <v>25527</v>
      </c>
      <c r="E154" s="125" t="s">
        <v>286</v>
      </c>
      <c r="F154" s="382" t="s">
        <v>2</v>
      </c>
      <c r="G154" s="125">
        <v>19</v>
      </c>
      <c r="H154" s="296" t="s">
        <v>3</v>
      </c>
      <c r="I154" s="296" t="s">
        <v>437</v>
      </c>
      <c r="J154" s="199">
        <f t="shared" si="22"/>
        <v>0</v>
      </c>
      <c r="K154" s="199">
        <f t="shared" si="23"/>
        <v>1</v>
      </c>
      <c r="L154" s="199">
        <f t="shared" si="24"/>
        <v>0</v>
      </c>
      <c r="M154" s="199">
        <f t="shared" si="25"/>
        <v>1</v>
      </c>
      <c r="N154" s="200">
        <f t="shared" si="26"/>
        <v>1</v>
      </c>
      <c r="O154" s="200">
        <f t="shared" si="27"/>
        <v>0</v>
      </c>
      <c r="P154" s="200">
        <f t="shared" si="20"/>
        <v>0</v>
      </c>
      <c r="Q154" s="200">
        <f t="shared" si="21"/>
        <v>0</v>
      </c>
      <c r="R154" s="242">
        <f t="shared" si="28"/>
        <v>1</v>
      </c>
      <c r="S154" s="197"/>
      <c r="T154" s="198" t="str">
        <f>IF(ISNA(VLOOKUP(D154,'One year follow-up_inperson'!$C:$C,1,FALSE)),"No","Yes")</f>
        <v>No</v>
      </c>
    </row>
    <row r="155" spans="1:20" ht="88.8" customHeight="1">
      <c r="A155" s="410">
        <v>128</v>
      </c>
      <c r="B155" s="408"/>
      <c r="C155" s="122" t="str">
        <f t="shared" si="30"/>
        <v>255</v>
      </c>
      <c r="D155" s="122">
        <v>25527</v>
      </c>
      <c r="E155" s="125" t="s">
        <v>287</v>
      </c>
      <c r="F155" s="382" t="s">
        <v>2</v>
      </c>
      <c r="G155" s="125">
        <v>19</v>
      </c>
      <c r="H155" s="296" t="s">
        <v>3</v>
      </c>
      <c r="I155" s="296" t="s">
        <v>438</v>
      </c>
      <c r="J155" s="199">
        <f t="shared" si="22"/>
        <v>1</v>
      </c>
      <c r="K155" s="199">
        <f t="shared" si="23"/>
        <v>1</v>
      </c>
      <c r="L155" s="199">
        <f t="shared" si="24"/>
        <v>0</v>
      </c>
      <c r="M155" s="199">
        <f t="shared" si="25"/>
        <v>1</v>
      </c>
      <c r="N155" s="200">
        <f t="shared" si="26"/>
        <v>1</v>
      </c>
      <c r="O155" s="200">
        <f t="shared" si="27"/>
        <v>0</v>
      </c>
      <c r="P155" s="200">
        <f t="shared" si="20"/>
        <v>0</v>
      </c>
      <c r="Q155" s="200">
        <f t="shared" si="21"/>
        <v>0</v>
      </c>
      <c r="R155" s="242">
        <f t="shared" si="28"/>
        <v>1</v>
      </c>
      <c r="S155" s="197"/>
      <c r="T155" s="198" t="str">
        <f>IF(ISNA(VLOOKUP(D155,'One year follow-up_inperson'!$C:$C,1,FALSE)),"No","Yes")</f>
        <v>No</v>
      </c>
    </row>
    <row r="156" spans="1:20" ht="104.4" customHeight="1">
      <c r="A156" s="410">
        <v>129</v>
      </c>
      <c r="B156" s="408"/>
      <c r="C156" s="122" t="str">
        <f t="shared" si="30"/>
        <v>255</v>
      </c>
      <c r="D156" s="122">
        <f t="shared" ref="D156" si="35">D155+1</f>
        <v>25528</v>
      </c>
      <c r="E156" s="125" t="s">
        <v>288</v>
      </c>
      <c r="F156" s="382" t="s">
        <v>2</v>
      </c>
      <c r="G156" s="125">
        <v>16</v>
      </c>
      <c r="H156" s="296" t="s">
        <v>3</v>
      </c>
      <c r="I156" s="296" t="s">
        <v>313</v>
      </c>
      <c r="J156" s="199">
        <f t="shared" si="22"/>
        <v>1</v>
      </c>
      <c r="K156" s="199">
        <f t="shared" si="23"/>
        <v>0</v>
      </c>
      <c r="L156" s="199">
        <f t="shared" si="24"/>
        <v>0</v>
      </c>
      <c r="M156" s="199">
        <f t="shared" si="25"/>
        <v>1</v>
      </c>
      <c r="N156" s="200">
        <f t="shared" si="26"/>
        <v>0</v>
      </c>
      <c r="O156" s="200">
        <f t="shared" si="27"/>
        <v>0</v>
      </c>
      <c r="P156" s="200">
        <f t="shared" ref="P156:P188" si="36">IF(OR(ISNUMBER(SEARCH("school admission",I156))=TRUE,ISNUMBER(SEARCH("perfomance in class",I156))=TRUE,ISNUMBER(SEARCH("scholarship",I156))=TRUE,ISNUMBER(SEARCH("pursue higher education",I156))=TRUE),1,0)</f>
        <v>0</v>
      </c>
      <c r="Q156" s="200">
        <f t="shared" ref="Q156:Q188" si="37">IF(OR(ISNUMBER(SEARCH("leadership role",I156))=TRUE),1,0)</f>
        <v>0</v>
      </c>
      <c r="R156" s="242">
        <f t="shared" si="28"/>
        <v>1</v>
      </c>
      <c r="S156" s="197"/>
      <c r="T156" s="198" t="str">
        <f>IF(ISNA(VLOOKUP(D156,'One year follow-up_inperson'!$C:$C,1,FALSE)),"No","Yes")</f>
        <v>No</v>
      </c>
    </row>
    <row r="157" spans="1:20" ht="137.4" customHeight="1">
      <c r="A157" s="410">
        <v>130</v>
      </c>
      <c r="B157" s="408"/>
      <c r="C157" s="122" t="str">
        <f t="shared" si="30"/>
        <v>255</v>
      </c>
      <c r="D157" s="122">
        <v>25528</v>
      </c>
      <c r="E157" s="125" t="s">
        <v>289</v>
      </c>
      <c r="F157" s="382" t="s">
        <v>2</v>
      </c>
      <c r="G157" s="125">
        <v>17</v>
      </c>
      <c r="H157" s="296" t="s">
        <v>3</v>
      </c>
      <c r="I157" s="296" t="s">
        <v>314</v>
      </c>
      <c r="J157" s="199">
        <f t="shared" ref="J157:J188" si="38">IF(OR(ISNUMBER(SEARCH("confidence",I157))=TRUE,ISNUMBER(SEARCH("hope for the future",I157))=TRUE,ISNUMBER(SEARCH("communicate",I157))=TRUE,ISNUMBER(SEARCH("worthy",I157))=TRUE,ISNUMBER(SEARCH("thought",I157))=TRUE,ISNUMBER(SEARCH("open",I157))=TRUE,ISNUMBER(SEARCH("believe",I157))=TRUE,ISNUMBER(SEARCH("confident",I157))=TRUE,ISNUMBER(SEARCH("empower",I157))=TRUE),1,0)</f>
        <v>1</v>
      </c>
      <c r="K157" s="199">
        <f t="shared" ref="K157:K188" si="39">IF(OR(ISNUMBER(SEARCH("decision",I157))=TRUE,ISNUMBER(SEARCH("save",I157))=TRUE,ISNUMBER(SEARCH("saving",I157))=TRUE,ISNUMBER(SEARCH("started",I157))=TRUE,ISNUMBER(SEARCH("buy",I157))=TRUE,ISNUMBER(SEARCH("bought",I157))=TRUE),1,0)</f>
        <v>1</v>
      </c>
      <c r="L157" s="199">
        <f t="shared" ref="L157:L188" si="40">IF(OR(ISNUMBER(SEARCH("active",I157))=TRUE,ISNUMBER(SEARCH("proactive",I157))=TRUE,ISNUMBER(SEARCH("face challenge",I157))=TRUE),1,0)</f>
        <v>0</v>
      </c>
      <c r="M157" s="199">
        <f t="shared" ref="M157:M188" si="41">IF(OR(J157=1,K157=1,L157=1),1,0)</f>
        <v>1</v>
      </c>
      <c r="N157" s="200">
        <f t="shared" ref="N157:N188" si="42">IF(OR(ISNUMBER(SEARCH("started a business",I157))=TRUE,ISNUMBER(SEARCH("started an income generating activity",I157))=TRUE),1,0)</f>
        <v>0</v>
      </c>
      <c r="O157" s="200">
        <f t="shared" ref="O157:O188" si="43">IF(OR(ISNUMBER(SEARCH("got a job",I157))=TRUE,ISNUMBER(SEARCH("got an internship",I157))=TRUE,ISNUMBER(SEARCH("got a promotion",I157))=TRUE),1,0)</f>
        <v>0</v>
      </c>
      <c r="P157" s="200">
        <f t="shared" si="36"/>
        <v>0</v>
      </c>
      <c r="Q157" s="200">
        <f t="shared" si="37"/>
        <v>0</v>
      </c>
      <c r="R157" s="242">
        <f t="shared" si="28"/>
        <v>1</v>
      </c>
      <c r="S157" s="197"/>
      <c r="T157" s="198" t="str">
        <f>IF(ISNA(VLOOKUP(D157,'One year follow-up_inperson'!$C:$C,1,FALSE)),"No","Yes")</f>
        <v>No</v>
      </c>
    </row>
    <row r="158" spans="1:20" ht="116.4" customHeight="1">
      <c r="A158" s="410">
        <v>131</v>
      </c>
      <c r="B158" s="408"/>
      <c r="C158" s="122" t="str">
        <f t="shared" si="30"/>
        <v>255</v>
      </c>
      <c r="D158" s="122">
        <f t="shared" ref="D158" si="44">D157+1</f>
        <v>25529</v>
      </c>
      <c r="E158" s="126" t="s">
        <v>460</v>
      </c>
      <c r="F158" s="382" t="s">
        <v>2</v>
      </c>
      <c r="G158" s="125">
        <v>18</v>
      </c>
      <c r="H158" s="296" t="s">
        <v>3</v>
      </c>
      <c r="I158" s="296" t="s">
        <v>439</v>
      </c>
      <c r="J158" s="199">
        <f t="shared" si="38"/>
        <v>1</v>
      </c>
      <c r="K158" s="199">
        <f t="shared" si="39"/>
        <v>0</v>
      </c>
      <c r="L158" s="199">
        <f t="shared" si="40"/>
        <v>0</v>
      </c>
      <c r="M158" s="199">
        <f t="shared" si="41"/>
        <v>1</v>
      </c>
      <c r="N158" s="200">
        <f t="shared" si="42"/>
        <v>0</v>
      </c>
      <c r="O158" s="200">
        <f t="shared" si="43"/>
        <v>0</v>
      </c>
      <c r="P158" s="200">
        <f t="shared" si="36"/>
        <v>0</v>
      </c>
      <c r="Q158" s="200">
        <f t="shared" si="37"/>
        <v>0</v>
      </c>
      <c r="R158" s="242">
        <f t="shared" si="28"/>
        <v>1</v>
      </c>
      <c r="S158" s="197"/>
      <c r="T158" s="198" t="str">
        <f>IF(ISNA(VLOOKUP(D158,'One year follow-up_inperson'!$C:$C,1,FALSE)),"No","Yes")</f>
        <v>No</v>
      </c>
    </row>
    <row r="159" spans="1:20" ht="75.599999999999994" customHeight="1">
      <c r="A159" s="410">
        <v>132</v>
      </c>
      <c r="B159" s="408"/>
      <c r="C159" s="122" t="str">
        <f t="shared" si="30"/>
        <v>255</v>
      </c>
      <c r="D159" s="122">
        <v>25529</v>
      </c>
      <c r="E159" s="125" t="s">
        <v>290</v>
      </c>
      <c r="F159" s="382" t="s">
        <v>2</v>
      </c>
      <c r="G159" s="125">
        <v>15</v>
      </c>
      <c r="H159" s="296" t="s">
        <v>3</v>
      </c>
      <c r="I159" s="296" t="s">
        <v>315</v>
      </c>
      <c r="J159" s="199">
        <f t="shared" si="38"/>
        <v>1</v>
      </c>
      <c r="K159" s="199">
        <f t="shared" si="39"/>
        <v>0</v>
      </c>
      <c r="L159" s="199">
        <f t="shared" si="40"/>
        <v>0</v>
      </c>
      <c r="M159" s="199">
        <f t="shared" si="41"/>
        <v>1</v>
      </c>
      <c r="N159" s="200">
        <f t="shared" si="42"/>
        <v>0</v>
      </c>
      <c r="O159" s="200">
        <f t="shared" si="43"/>
        <v>0</v>
      </c>
      <c r="P159" s="200">
        <f t="shared" si="36"/>
        <v>0</v>
      </c>
      <c r="Q159" s="200">
        <f t="shared" si="37"/>
        <v>0</v>
      </c>
      <c r="R159" s="242">
        <f t="shared" si="28"/>
        <v>1</v>
      </c>
      <c r="S159" s="197"/>
      <c r="T159" s="198" t="str">
        <f>IF(ISNA(VLOOKUP(D159,'One year follow-up_inperson'!$C:$C,1,FALSE)),"No","Yes")</f>
        <v>No</v>
      </c>
    </row>
    <row r="160" spans="1:20" ht="96" customHeight="1">
      <c r="A160" s="410">
        <v>133</v>
      </c>
      <c r="B160" s="408"/>
      <c r="C160" s="122" t="str">
        <f t="shared" si="30"/>
        <v>255</v>
      </c>
      <c r="D160" s="122">
        <v>25530</v>
      </c>
      <c r="E160" s="125" t="s">
        <v>291</v>
      </c>
      <c r="F160" s="382" t="s">
        <v>2</v>
      </c>
      <c r="G160" s="125">
        <v>12</v>
      </c>
      <c r="H160" s="296" t="s">
        <v>3</v>
      </c>
      <c r="I160" s="296" t="s">
        <v>440</v>
      </c>
      <c r="J160" s="199">
        <f t="shared" si="38"/>
        <v>1</v>
      </c>
      <c r="K160" s="199">
        <f t="shared" si="39"/>
        <v>0</v>
      </c>
      <c r="L160" s="199">
        <f t="shared" si="40"/>
        <v>0</v>
      </c>
      <c r="M160" s="199">
        <f t="shared" si="41"/>
        <v>1</v>
      </c>
      <c r="N160" s="200">
        <f t="shared" si="42"/>
        <v>0</v>
      </c>
      <c r="O160" s="200">
        <f t="shared" si="43"/>
        <v>0</v>
      </c>
      <c r="P160" s="200">
        <f t="shared" si="36"/>
        <v>0</v>
      </c>
      <c r="Q160" s="200">
        <f t="shared" si="37"/>
        <v>0</v>
      </c>
      <c r="R160" s="242">
        <f t="shared" si="28"/>
        <v>1</v>
      </c>
      <c r="S160" s="197"/>
      <c r="T160" s="198" t="str">
        <f>IF(ISNA(VLOOKUP(D160,'One year follow-up_inperson'!$C:$C,1,FALSE)),"No","Yes")</f>
        <v>No</v>
      </c>
    </row>
    <row r="161" spans="1:20" ht="112.8" customHeight="1">
      <c r="A161" s="410">
        <v>134</v>
      </c>
      <c r="B161" s="408"/>
      <c r="C161" s="122" t="str">
        <f t="shared" si="30"/>
        <v>255</v>
      </c>
      <c r="D161" s="122">
        <v>25531</v>
      </c>
      <c r="E161" s="125" t="s">
        <v>292</v>
      </c>
      <c r="F161" s="382" t="s">
        <v>2</v>
      </c>
      <c r="G161" s="125">
        <v>15</v>
      </c>
      <c r="H161" s="296" t="s">
        <v>3</v>
      </c>
      <c r="I161" s="296" t="s">
        <v>441</v>
      </c>
      <c r="J161" s="199">
        <f t="shared" si="38"/>
        <v>1</v>
      </c>
      <c r="K161" s="199">
        <f t="shared" si="39"/>
        <v>1</v>
      </c>
      <c r="L161" s="199">
        <f t="shared" si="40"/>
        <v>0</v>
      </c>
      <c r="M161" s="199">
        <f t="shared" si="41"/>
        <v>1</v>
      </c>
      <c r="N161" s="200">
        <f t="shared" si="42"/>
        <v>1</v>
      </c>
      <c r="O161" s="200">
        <f t="shared" si="43"/>
        <v>0</v>
      </c>
      <c r="P161" s="200">
        <f t="shared" si="36"/>
        <v>0</v>
      </c>
      <c r="Q161" s="200">
        <f t="shared" si="37"/>
        <v>0</v>
      </c>
      <c r="R161" s="242">
        <f t="shared" si="28"/>
        <v>1</v>
      </c>
      <c r="S161" s="197"/>
      <c r="T161" s="198" t="str">
        <f>IF(ISNA(VLOOKUP(D161,'One year follow-up_inperson'!$C:$C,1,FALSE)),"No","Yes")</f>
        <v>No</v>
      </c>
    </row>
    <row r="162" spans="1:20" ht="140.4" customHeight="1">
      <c r="A162" s="410">
        <v>135</v>
      </c>
      <c r="B162" s="408"/>
      <c r="C162" s="122" t="str">
        <f t="shared" si="30"/>
        <v>255</v>
      </c>
      <c r="D162" s="122">
        <v>25532</v>
      </c>
      <c r="E162" s="125" t="s">
        <v>293</v>
      </c>
      <c r="F162" s="382" t="s">
        <v>2</v>
      </c>
      <c r="G162" s="125">
        <v>14</v>
      </c>
      <c r="H162" s="296" t="s">
        <v>3</v>
      </c>
      <c r="I162" s="391" t="s">
        <v>354</v>
      </c>
      <c r="J162" s="199">
        <f t="shared" si="38"/>
        <v>0</v>
      </c>
      <c r="K162" s="199">
        <f t="shared" si="39"/>
        <v>1</v>
      </c>
      <c r="L162" s="199">
        <f t="shared" si="40"/>
        <v>0</v>
      </c>
      <c r="M162" s="199">
        <f t="shared" si="41"/>
        <v>1</v>
      </c>
      <c r="N162" s="200">
        <f t="shared" si="42"/>
        <v>1</v>
      </c>
      <c r="O162" s="200">
        <f t="shared" si="43"/>
        <v>0</v>
      </c>
      <c r="P162" s="200">
        <f t="shared" si="36"/>
        <v>0</v>
      </c>
      <c r="Q162" s="200">
        <f t="shared" si="37"/>
        <v>0</v>
      </c>
      <c r="R162" s="242">
        <f t="shared" si="28"/>
        <v>1</v>
      </c>
      <c r="S162" s="197"/>
      <c r="T162" s="198" t="str">
        <f>IF(ISNA(VLOOKUP(D162,'One year follow-up_inperson'!$C:$C,1,FALSE)),"No","Yes")</f>
        <v>No</v>
      </c>
    </row>
    <row r="163" spans="1:20" ht="168" customHeight="1">
      <c r="A163" s="410">
        <v>136</v>
      </c>
      <c r="B163" s="408"/>
      <c r="C163" s="122" t="str">
        <f t="shared" si="30"/>
        <v>255</v>
      </c>
      <c r="D163" s="122">
        <v>25533</v>
      </c>
      <c r="E163" s="125" t="s">
        <v>294</v>
      </c>
      <c r="F163" s="382" t="s">
        <v>2</v>
      </c>
      <c r="G163" s="125">
        <v>15</v>
      </c>
      <c r="H163" s="296" t="s">
        <v>3</v>
      </c>
      <c r="I163" s="136" t="s">
        <v>353</v>
      </c>
      <c r="J163" s="199">
        <f t="shared" si="38"/>
        <v>0</v>
      </c>
      <c r="K163" s="199">
        <f t="shared" si="39"/>
        <v>1</v>
      </c>
      <c r="L163" s="199">
        <f t="shared" si="40"/>
        <v>0</v>
      </c>
      <c r="M163" s="199">
        <f t="shared" si="41"/>
        <v>1</v>
      </c>
      <c r="N163" s="200">
        <f t="shared" si="42"/>
        <v>1</v>
      </c>
      <c r="O163" s="200">
        <f t="shared" si="43"/>
        <v>0</v>
      </c>
      <c r="P163" s="200">
        <f t="shared" si="36"/>
        <v>0</v>
      </c>
      <c r="Q163" s="200">
        <f t="shared" si="37"/>
        <v>0</v>
      </c>
      <c r="R163" s="242">
        <f t="shared" si="28"/>
        <v>1</v>
      </c>
      <c r="S163" s="197"/>
      <c r="T163" s="198" t="str">
        <f>IF(ISNA(VLOOKUP(D163,'One year follow-up_inperson'!$C:$C,1,FALSE)),"No","Yes")</f>
        <v>No</v>
      </c>
    </row>
    <row r="164" spans="1:20" ht="196.8" customHeight="1">
      <c r="A164" s="410">
        <v>137</v>
      </c>
      <c r="B164" s="408"/>
      <c r="C164" s="122" t="str">
        <f t="shared" si="30"/>
        <v>255</v>
      </c>
      <c r="D164" s="122">
        <v>25534</v>
      </c>
      <c r="E164" s="125" t="s">
        <v>295</v>
      </c>
      <c r="F164" s="382" t="s">
        <v>2</v>
      </c>
      <c r="G164" s="125">
        <v>18</v>
      </c>
      <c r="H164" s="296" t="s">
        <v>3</v>
      </c>
      <c r="I164" s="391" t="s">
        <v>352</v>
      </c>
      <c r="J164" s="199">
        <f t="shared" si="38"/>
        <v>0</v>
      </c>
      <c r="K164" s="199">
        <f t="shared" si="39"/>
        <v>1</v>
      </c>
      <c r="L164" s="199">
        <f t="shared" si="40"/>
        <v>0</v>
      </c>
      <c r="M164" s="199">
        <f t="shared" si="41"/>
        <v>1</v>
      </c>
      <c r="N164" s="200">
        <f t="shared" si="42"/>
        <v>1</v>
      </c>
      <c r="O164" s="200">
        <f t="shared" si="43"/>
        <v>0</v>
      </c>
      <c r="P164" s="200">
        <f t="shared" si="36"/>
        <v>0</v>
      </c>
      <c r="Q164" s="200">
        <f t="shared" si="37"/>
        <v>0</v>
      </c>
      <c r="R164" s="242">
        <f t="shared" si="28"/>
        <v>1</v>
      </c>
      <c r="S164" s="197"/>
      <c r="T164" s="198" t="str">
        <f>IF(ISNA(VLOOKUP(D164,'One year follow-up_inperson'!$C:$C,1,FALSE)),"No","Yes")</f>
        <v>No</v>
      </c>
    </row>
    <row r="165" spans="1:20" ht="120.6" customHeight="1">
      <c r="A165" s="410">
        <v>138</v>
      </c>
      <c r="B165" s="408"/>
      <c r="C165" s="122" t="str">
        <f t="shared" si="30"/>
        <v>255</v>
      </c>
      <c r="D165" s="122">
        <v>25535</v>
      </c>
      <c r="E165" s="125" t="s">
        <v>296</v>
      </c>
      <c r="F165" s="382" t="s">
        <v>2</v>
      </c>
      <c r="G165" s="125">
        <v>17</v>
      </c>
      <c r="H165" s="296" t="s">
        <v>3</v>
      </c>
      <c r="I165" s="136" t="s">
        <v>351</v>
      </c>
      <c r="J165" s="199">
        <f t="shared" si="38"/>
        <v>1</v>
      </c>
      <c r="K165" s="199">
        <f t="shared" si="39"/>
        <v>1</v>
      </c>
      <c r="L165" s="199">
        <f t="shared" si="40"/>
        <v>0</v>
      </c>
      <c r="M165" s="199">
        <f t="shared" si="41"/>
        <v>1</v>
      </c>
      <c r="N165" s="200">
        <f t="shared" si="42"/>
        <v>1</v>
      </c>
      <c r="O165" s="200">
        <f t="shared" si="43"/>
        <v>0</v>
      </c>
      <c r="P165" s="200">
        <f t="shared" si="36"/>
        <v>0</v>
      </c>
      <c r="Q165" s="200">
        <f t="shared" si="37"/>
        <v>0</v>
      </c>
      <c r="R165" s="242">
        <f t="shared" si="28"/>
        <v>1</v>
      </c>
      <c r="S165" s="197"/>
      <c r="T165" s="198" t="str">
        <f>IF(ISNA(VLOOKUP(D165,'One year follow-up_inperson'!$C:$C,1,FALSE)),"No","Yes")</f>
        <v>No</v>
      </c>
    </row>
    <row r="166" spans="1:20" ht="162.6" customHeight="1">
      <c r="A166" s="410">
        <v>139</v>
      </c>
      <c r="B166" s="408"/>
      <c r="C166" s="132" t="str">
        <f t="shared" si="30"/>
        <v>255</v>
      </c>
      <c r="D166" s="132">
        <v>25536</v>
      </c>
      <c r="E166" s="388" t="s">
        <v>297</v>
      </c>
      <c r="F166" s="387" t="s">
        <v>2</v>
      </c>
      <c r="G166" s="400">
        <v>15</v>
      </c>
      <c r="H166" s="388" t="s">
        <v>3</v>
      </c>
      <c r="I166" s="401" t="s">
        <v>350</v>
      </c>
      <c r="J166" s="199">
        <f t="shared" si="38"/>
        <v>1</v>
      </c>
      <c r="K166" s="199">
        <f t="shared" si="39"/>
        <v>1</v>
      </c>
      <c r="L166" s="199">
        <f t="shared" si="40"/>
        <v>0</v>
      </c>
      <c r="M166" s="199">
        <f t="shared" si="41"/>
        <v>1</v>
      </c>
      <c r="N166" s="200">
        <f t="shared" si="42"/>
        <v>1</v>
      </c>
      <c r="O166" s="200">
        <f t="shared" si="43"/>
        <v>0</v>
      </c>
      <c r="P166" s="200">
        <f t="shared" si="36"/>
        <v>0</v>
      </c>
      <c r="Q166" s="200">
        <f t="shared" si="37"/>
        <v>0</v>
      </c>
      <c r="R166" s="242">
        <f t="shared" si="28"/>
        <v>1</v>
      </c>
      <c r="S166" s="197"/>
      <c r="T166" s="198" t="str">
        <f>IF(ISNA(VLOOKUP(D166,'One year follow-up_inperson'!$C:$C,1,FALSE)),"No","Yes")</f>
        <v>No</v>
      </c>
    </row>
    <row r="167" spans="1:20" ht="78.599999999999994" customHeight="1">
      <c r="A167" s="410">
        <v>140</v>
      </c>
      <c r="B167" s="409"/>
      <c r="C167" s="125" t="str">
        <f t="shared" si="30"/>
        <v>264</v>
      </c>
      <c r="D167" s="125">
        <v>26432</v>
      </c>
      <c r="E167" s="296" t="s">
        <v>361</v>
      </c>
      <c r="F167" s="126" t="s">
        <v>2</v>
      </c>
      <c r="G167" s="296">
        <v>20</v>
      </c>
      <c r="H167" s="296" t="s">
        <v>3</v>
      </c>
      <c r="I167" s="296" t="s">
        <v>446</v>
      </c>
      <c r="J167" s="199">
        <f t="shared" si="38"/>
        <v>0</v>
      </c>
      <c r="K167" s="199">
        <f t="shared" si="39"/>
        <v>0</v>
      </c>
      <c r="L167" s="199">
        <f t="shared" si="40"/>
        <v>0</v>
      </c>
      <c r="M167" s="199">
        <f t="shared" si="41"/>
        <v>0</v>
      </c>
      <c r="N167" s="200">
        <f t="shared" si="42"/>
        <v>0</v>
      </c>
      <c r="O167" s="200">
        <f t="shared" si="43"/>
        <v>1</v>
      </c>
      <c r="P167" s="200">
        <f t="shared" si="36"/>
        <v>0</v>
      </c>
      <c r="Q167" s="200">
        <f t="shared" si="37"/>
        <v>0</v>
      </c>
      <c r="R167" s="242">
        <f t="shared" si="28"/>
        <v>1</v>
      </c>
      <c r="S167" s="197"/>
      <c r="T167" s="198" t="str">
        <f>IF(ISNA(VLOOKUP(D167,'One year follow-up_inperson'!$C:$C,1,FALSE)),"No","Yes")</f>
        <v>No</v>
      </c>
    </row>
    <row r="168" spans="1:20" ht="72" customHeight="1">
      <c r="A168" s="410">
        <v>141</v>
      </c>
      <c r="B168" s="409"/>
      <c r="C168" s="125" t="str">
        <f t="shared" si="30"/>
        <v>264</v>
      </c>
      <c r="D168" s="125">
        <v>26433</v>
      </c>
      <c r="E168" s="296" t="s">
        <v>362</v>
      </c>
      <c r="F168" s="126" t="s">
        <v>2</v>
      </c>
      <c r="G168" s="296">
        <v>22</v>
      </c>
      <c r="H168" s="296" t="s">
        <v>3</v>
      </c>
      <c r="I168" s="296" t="s">
        <v>383</v>
      </c>
      <c r="J168" s="199">
        <f t="shared" si="38"/>
        <v>0</v>
      </c>
      <c r="K168" s="199">
        <f t="shared" si="39"/>
        <v>1</v>
      </c>
      <c r="L168" s="199">
        <f t="shared" si="40"/>
        <v>1</v>
      </c>
      <c r="M168" s="199">
        <f t="shared" si="41"/>
        <v>1</v>
      </c>
      <c r="N168" s="200">
        <f t="shared" si="42"/>
        <v>0</v>
      </c>
      <c r="O168" s="200">
        <f t="shared" si="43"/>
        <v>1</v>
      </c>
      <c r="P168" s="200">
        <f t="shared" si="36"/>
        <v>0</v>
      </c>
      <c r="Q168" s="200">
        <f t="shared" si="37"/>
        <v>0</v>
      </c>
      <c r="R168" s="242">
        <f t="shared" si="28"/>
        <v>1</v>
      </c>
      <c r="S168" s="197"/>
      <c r="T168" s="198" t="str">
        <f>IF(ISNA(VLOOKUP(D168,'One year follow-up_inperson'!$C:$C,1,FALSE)),"No","Yes")</f>
        <v>No</v>
      </c>
    </row>
    <row r="169" spans="1:20" ht="48" customHeight="1">
      <c r="A169" s="410">
        <v>142</v>
      </c>
      <c r="B169" s="409"/>
      <c r="C169" s="125" t="str">
        <f t="shared" si="30"/>
        <v>264</v>
      </c>
      <c r="D169" s="125">
        <v>26434</v>
      </c>
      <c r="E169" s="296" t="s">
        <v>363</v>
      </c>
      <c r="F169" s="126" t="s">
        <v>2</v>
      </c>
      <c r="G169" s="296">
        <v>26</v>
      </c>
      <c r="H169" s="296" t="s">
        <v>3</v>
      </c>
      <c r="I169" s="296" t="s">
        <v>443</v>
      </c>
      <c r="J169" s="199">
        <f t="shared" si="38"/>
        <v>0</v>
      </c>
      <c r="K169" s="199">
        <f t="shared" si="39"/>
        <v>0</v>
      </c>
      <c r="L169" s="199">
        <f t="shared" si="40"/>
        <v>0</v>
      </c>
      <c r="M169" s="199">
        <f t="shared" si="41"/>
        <v>0</v>
      </c>
      <c r="N169" s="200">
        <f t="shared" si="42"/>
        <v>0</v>
      </c>
      <c r="O169" s="200">
        <f t="shared" si="43"/>
        <v>0</v>
      </c>
      <c r="P169" s="200">
        <f t="shared" si="36"/>
        <v>0</v>
      </c>
      <c r="Q169" s="200">
        <f t="shared" si="37"/>
        <v>0</v>
      </c>
      <c r="R169" s="242">
        <f t="shared" si="28"/>
        <v>0</v>
      </c>
      <c r="S169" s="197"/>
      <c r="T169" s="198" t="str">
        <f>IF(ISNA(VLOOKUP(D169,'One year follow-up_inperson'!$C:$C,1,FALSE)),"No","Yes")</f>
        <v>No</v>
      </c>
    </row>
    <row r="170" spans="1:20" ht="58.2" customHeight="1">
      <c r="A170" s="410">
        <v>143</v>
      </c>
      <c r="B170" s="409"/>
      <c r="C170" s="125" t="str">
        <f t="shared" si="30"/>
        <v>264</v>
      </c>
      <c r="D170" s="125">
        <v>26437</v>
      </c>
      <c r="E170" s="296" t="s">
        <v>364</v>
      </c>
      <c r="F170" s="126" t="s">
        <v>2</v>
      </c>
      <c r="G170" s="296">
        <v>24</v>
      </c>
      <c r="H170" s="296" t="s">
        <v>3</v>
      </c>
      <c r="I170" s="296" t="s">
        <v>445</v>
      </c>
      <c r="J170" s="199">
        <f t="shared" si="38"/>
        <v>0</v>
      </c>
      <c r="K170" s="199">
        <f t="shared" si="39"/>
        <v>0</v>
      </c>
      <c r="L170" s="199">
        <f t="shared" si="40"/>
        <v>0</v>
      </c>
      <c r="M170" s="199">
        <f t="shared" si="41"/>
        <v>0</v>
      </c>
      <c r="N170" s="200">
        <f t="shared" si="42"/>
        <v>0</v>
      </c>
      <c r="O170" s="200">
        <f t="shared" si="43"/>
        <v>0</v>
      </c>
      <c r="P170" s="200">
        <f t="shared" si="36"/>
        <v>0</v>
      </c>
      <c r="Q170" s="200">
        <f t="shared" si="37"/>
        <v>0</v>
      </c>
      <c r="R170" s="242">
        <f t="shared" si="28"/>
        <v>0</v>
      </c>
      <c r="S170" s="197"/>
      <c r="T170" s="198" t="str">
        <f>IF(ISNA(VLOOKUP(D170,'One year follow-up_inperson'!$C:$C,1,FALSE)),"No","Yes")</f>
        <v>No</v>
      </c>
    </row>
    <row r="171" spans="1:20" ht="66.599999999999994" customHeight="1">
      <c r="A171" s="410">
        <v>144</v>
      </c>
      <c r="B171" s="409"/>
      <c r="C171" s="125" t="str">
        <f t="shared" si="30"/>
        <v>265</v>
      </c>
      <c r="D171" s="125">
        <v>2651</v>
      </c>
      <c r="E171" s="296" t="s">
        <v>365</v>
      </c>
      <c r="F171" s="126" t="s">
        <v>2</v>
      </c>
      <c r="G171" s="296">
        <v>30</v>
      </c>
      <c r="H171" s="296" t="s">
        <v>3</v>
      </c>
      <c r="I171" s="296" t="s">
        <v>384</v>
      </c>
      <c r="J171" s="199">
        <f t="shared" si="38"/>
        <v>0</v>
      </c>
      <c r="K171" s="199">
        <f t="shared" si="39"/>
        <v>0</v>
      </c>
      <c r="L171" s="199">
        <f t="shared" si="40"/>
        <v>0</v>
      </c>
      <c r="M171" s="199">
        <f t="shared" si="41"/>
        <v>0</v>
      </c>
      <c r="N171" s="200">
        <f t="shared" si="42"/>
        <v>0</v>
      </c>
      <c r="O171" s="200">
        <f t="shared" si="43"/>
        <v>1</v>
      </c>
      <c r="P171" s="200">
        <f t="shared" si="36"/>
        <v>0</v>
      </c>
      <c r="Q171" s="200">
        <f t="shared" si="37"/>
        <v>0</v>
      </c>
      <c r="R171" s="242">
        <f t="shared" si="28"/>
        <v>1</v>
      </c>
      <c r="S171" s="197"/>
      <c r="T171" s="198" t="str">
        <f>IF(ISNA(VLOOKUP(D171,'One year follow-up_inperson'!$C:$C,1,FALSE)),"No","Yes")</f>
        <v>No</v>
      </c>
    </row>
    <row r="172" spans="1:20" ht="69" customHeight="1">
      <c r="A172" s="410">
        <v>145</v>
      </c>
      <c r="B172" s="409"/>
      <c r="C172" s="125" t="str">
        <f t="shared" si="30"/>
        <v>265</v>
      </c>
      <c r="D172" s="125">
        <v>2652</v>
      </c>
      <c r="E172" s="296" t="s">
        <v>366</v>
      </c>
      <c r="F172" s="126" t="s">
        <v>2</v>
      </c>
      <c r="G172" s="296">
        <v>30</v>
      </c>
      <c r="H172" s="296" t="s">
        <v>3</v>
      </c>
      <c r="I172" s="296" t="s">
        <v>442</v>
      </c>
      <c r="J172" s="199">
        <f t="shared" si="38"/>
        <v>0</v>
      </c>
      <c r="K172" s="199">
        <f t="shared" si="39"/>
        <v>1</v>
      </c>
      <c r="L172" s="199">
        <f t="shared" si="40"/>
        <v>0</v>
      </c>
      <c r="M172" s="199">
        <f t="shared" si="41"/>
        <v>1</v>
      </c>
      <c r="N172" s="200">
        <f t="shared" si="42"/>
        <v>1</v>
      </c>
      <c r="O172" s="200">
        <f t="shared" si="43"/>
        <v>0</v>
      </c>
      <c r="P172" s="200">
        <f t="shared" si="36"/>
        <v>0</v>
      </c>
      <c r="Q172" s="200">
        <f t="shared" si="37"/>
        <v>0</v>
      </c>
      <c r="R172" s="242">
        <f t="shared" si="28"/>
        <v>1</v>
      </c>
      <c r="S172" s="197"/>
      <c r="T172" s="198" t="str">
        <f>IF(ISNA(VLOOKUP(D172,'One year follow-up_inperson'!$C:$C,1,FALSE)),"No","Yes")</f>
        <v>No</v>
      </c>
    </row>
    <row r="173" spans="1:20" ht="41.4">
      <c r="A173" s="410">
        <v>146</v>
      </c>
      <c r="B173" s="409"/>
      <c r="C173" s="125" t="str">
        <f t="shared" si="30"/>
        <v>265</v>
      </c>
      <c r="D173" s="125">
        <v>2653</v>
      </c>
      <c r="E173" s="296" t="s">
        <v>367</v>
      </c>
      <c r="F173" s="126" t="s">
        <v>2</v>
      </c>
      <c r="G173" s="296">
        <v>26</v>
      </c>
      <c r="H173" s="296" t="s">
        <v>3</v>
      </c>
      <c r="I173" s="296" t="s">
        <v>385</v>
      </c>
      <c r="J173" s="199">
        <f t="shared" si="38"/>
        <v>0</v>
      </c>
      <c r="K173" s="199">
        <f t="shared" si="39"/>
        <v>1</v>
      </c>
      <c r="L173" s="199">
        <f t="shared" si="40"/>
        <v>0</v>
      </c>
      <c r="M173" s="199">
        <f t="shared" si="41"/>
        <v>1</v>
      </c>
      <c r="N173" s="200">
        <f t="shared" si="42"/>
        <v>1</v>
      </c>
      <c r="O173" s="200">
        <f t="shared" si="43"/>
        <v>0</v>
      </c>
      <c r="P173" s="200">
        <f t="shared" si="36"/>
        <v>0</v>
      </c>
      <c r="Q173" s="200">
        <f t="shared" si="37"/>
        <v>0</v>
      </c>
      <c r="R173" s="242">
        <f t="shared" si="28"/>
        <v>1</v>
      </c>
      <c r="S173" s="197"/>
      <c r="T173" s="198" t="str">
        <f>IF(ISNA(VLOOKUP(D173,'One year follow-up_inperson'!$C:$C,1,FALSE)),"No","Yes")</f>
        <v>No</v>
      </c>
    </row>
    <row r="174" spans="1:20" ht="80.400000000000006" customHeight="1">
      <c r="A174" s="410">
        <v>147</v>
      </c>
      <c r="B174" s="409"/>
      <c r="C174" s="125" t="str">
        <f t="shared" si="30"/>
        <v>265</v>
      </c>
      <c r="D174" s="125">
        <v>2654</v>
      </c>
      <c r="E174" s="296" t="s">
        <v>368</v>
      </c>
      <c r="F174" s="126" t="s">
        <v>2</v>
      </c>
      <c r="G174" s="296">
        <v>25</v>
      </c>
      <c r="H174" s="296" t="s">
        <v>3</v>
      </c>
      <c r="I174" s="296" t="s">
        <v>386</v>
      </c>
      <c r="J174" s="199">
        <f t="shared" si="38"/>
        <v>0</v>
      </c>
      <c r="K174" s="199">
        <f t="shared" si="39"/>
        <v>1</v>
      </c>
      <c r="L174" s="199">
        <f t="shared" si="40"/>
        <v>0</v>
      </c>
      <c r="M174" s="199">
        <f t="shared" si="41"/>
        <v>1</v>
      </c>
      <c r="N174" s="200">
        <f t="shared" si="42"/>
        <v>1</v>
      </c>
      <c r="O174" s="200">
        <f t="shared" si="43"/>
        <v>0</v>
      </c>
      <c r="P174" s="200">
        <f t="shared" si="36"/>
        <v>0</v>
      </c>
      <c r="Q174" s="200">
        <f t="shared" si="37"/>
        <v>0</v>
      </c>
      <c r="R174" s="242">
        <f t="shared" ref="R174:R188" si="45">IF(OR(M174=1,N174=1,O174=1,P174=1,Q174=1),1,0)</f>
        <v>1</v>
      </c>
      <c r="S174" s="197"/>
      <c r="T174" s="198" t="str">
        <f>IF(ISNA(VLOOKUP(D174,'One year follow-up_inperson'!$C:$C,1,FALSE)),"No","Yes")</f>
        <v>No</v>
      </c>
    </row>
    <row r="175" spans="1:20" ht="55.2">
      <c r="A175" s="410">
        <v>148</v>
      </c>
      <c r="B175" s="409"/>
      <c r="C175" s="125" t="str">
        <f t="shared" si="30"/>
        <v>265</v>
      </c>
      <c r="D175" s="125">
        <v>2655</v>
      </c>
      <c r="E175" s="296" t="s">
        <v>369</v>
      </c>
      <c r="F175" s="126" t="s">
        <v>2</v>
      </c>
      <c r="G175" s="296">
        <v>25</v>
      </c>
      <c r="H175" s="296" t="s">
        <v>3</v>
      </c>
      <c r="I175" s="296" t="s">
        <v>387</v>
      </c>
      <c r="J175" s="199">
        <f t="shared" si="38"/>
        <v>0</v>
      </c>
      <c r="K175" s="199">
        <f t="shared" si="39"/>
        <v>1</v>
      </c>
      <c r="L175" s="199">
        <f t="shared" si="40"/>
        <v>0</v>
      </c>
      <c r="M175" s="199">
        <f t="shared" si="41"/>
        <v>1</v>
      </c>
      <c r="N175" s="200">
        <f t="shared" si="42"/>
        <v>0</v>
      </c>
      <c r="O175" s="200">
        <f t="shared" si="43"/>
        <v>0</v>
      </c>
      <c r="P175" s="200">
        <f t="shared" si="36"/>
        <v>0</v>
      </c>
      <c r="Q175" s="200">
        <f t="shared" si="37"/>
        <v>0</v>
      </c>
      <c r="R175" s="242">
        <f t="shared" si="45"/>
        <v>1</v>
      </c>
      <c r="S175" s="197"/>
      <c r="T175" s="198" t="str">
        <f>IF(ISNA(VLOOKUP(D175,'One year follow-up_inperson'!$C:$C,1,FALSE)),"No","Yes")</f>
        <v>No</v>
      </c>
    </row>
    <row r="176" spans="1:20" ht="97.8" customHeight="1">
      <c r="A176" s="410">
        <v>149</v>
      </c>
      <c r="B176" s="409"/>
      <c r="C176" s="125" t="str">
        <f t="shared" si="30"/>
        <v>265</v>
      </c>
      <c r="D176" s="125">
        <v>2658</v>
      </c>
      <c r="E176" s="296" t="s">
        <v>370</v>
      </c>
      <c r="F176" s="126" t="s">
        <v>2</v>
      </c>
      <c r="G176" s="296">
        <v>26</v>
      </c>
      <c r="H176" s="296" t="s">
        <v>3</v>
      </c>
      <c r="I176" s="296" t="s">
        <v>388</v>
      </c>
      <c r="J176" s="199">
        <f t="shared" si="38"/>
        <v>0</v>
      </c>
      <c r="K176" s="199">
        <f t="shared" si="39"/>
        <v>1</v>
      </c>
      <c r="L176" s="199">
        <f t="shared" si="40"/>
        <v>0</v>
      </c>
      <c r="M176" s="199">
        <f t="shared" si="41"/>
        <v>1</v>
      </c>
      <c r="N176" s="200">
        <f t="shared" si="42"/>
        <v>0</v>
      </c>
      <c r="O176" s="200">
        <f t="shared" si="43"/>
        <v>0</v>
      </c>
      <c r="P176" s="200">
        <f t="shared" si="36"/>
        <v>0</v>
      </c>
      <c r="Q176" s="200">
        <f t="shared" si="37"/>
        <v>0</v>
      </c>
      <c r="R176" s="242">
        <f t="shared" si="45"/>
        <v>1</v>
      </c>
      <c r="S176" s="197"/>
      <c r="T176" s="198" t="str">
        <f>IF(ISNA(VLOOKUP(D176,'One year follow-up_inperson'!$C:$C,1,FALSE)),"No","Yes")</f>
        <v>No</v>
      </c>
    </row>
    <row r="177" spans="1:20" ht="89.4" customHeight="1">
      <c r="A177" s="410">
        <v>150</v>
      </c>
      <c r="B177" s="409"/>
      <c r="C177" s="125" t="str">
        <f t="shared" si="30"/>
        <v>265</v>
      </c>
      <c r="D177" s="125">
        <v>26514</v>
      </c>
      <c r="E177" s="296" t="s">
        <v>371</v>
      </c>
      <c r="F177" s="126" t="s">
        <v>2</v>
      </c>
      <c r="G177" s="296">
        <v>26</v>
      </c>
      <c r="H177" s="296" t="s">
        <v>3</v>
      </c>
      <c r="I177" s="296" t="s">
        <v>389</v>
      </c>
      <c r="J177" s="199">
        <f t="shared" si="38"/>
        <v>0</v>
      </c>
      <c r="K177" s="199">
        <f t="shared" si="39"/>
        <v>1</v>
      </c>
      <c r="L177" s="199">
        <f t="shared" si="40"/>
        <v>0</v>
      </c>
      <c r="M177" s="199">
        <f t="shared" si="41"/>
        <v>1</v>
      </c>
      <c r="N177" s="200">
        <f t="shared" si="42"/>
        <v>1</v>
      </c>
      <c r="O177" s="200">
        <f t="shared" si="43"/>
        <v>0</v>
      </c>
      <c r="P177" s="200">
        <f t="shared" si="36"/>
        <v>0</v>
      </c>
      <c r="Q177" s="200">
        <f t="shared" si="37"/>
        <v>0</v>
      </c>
      <c r="R177" s="242">
        <f t="shared" si="45"/>
        <v>1</v>
      </c>
      <c r="S177" s="197"/>
      <c r="T177" s="198" t="str">
        <f>IF(ISNA(VLOOKUP(D177,'One year follow-up_inperson'!$C:$C,1,FALSE)),"No","Yes")</f>
        <v>No</v>
      </c>
    </row>
    <row r="178" spans="1:20" ht="85.8" customHeight="1">
      <c r="A178" s="410">
        <v>151</v>
      </c>
      <c r="B178" s="409"/>
      <c r="C178" s="125" t="str">
        <f t="shared" si="30"/>
        <v>265</v>
      </c>
      <c r="D178" s="125">
        <v>26516</v>
      </c>
      <c r="E178" s="296" t="s">
        <v>372</v>
      </c>
      <c r="F178" s="126" t="s">
        <v>2</v>
      </c>
      <c r="G178" s="296">
        <v>23</v>
      </c>
      <c r="H178" s="296" t="s">
        <v>3</v>
      </c>
      <c r="I178" s="296" t="s">
        <v>390</v>
      </c>
      <c r="J178" s="199">
        <f t="shared" si="38"/>
        <v>0</v>
      </c>
      <c r="K178" s="199">
        <f t="shared" si="39"/>
        <v>1</v>
      </c>
      <c r="L178" s="199">
        <f t="shared" si="40"/>
        <v>0</v>
      </c>
      <c r="M178" s="199">
        <f t="shared" si="41"/>
        <v>1</v>
      </c>
      <c r="N178" s="200">
        <f t="shared" si="42"/>
        <v>1</v>
      </c>
      <c r="O178" s="200">
        <f t="shared" si="43"/>
        <v>0</v>
      </c>
      <c r="P178" s="200">
        <f t="shared" si="36"/>
        <v>0</v>
      </c>
      <c r="Q178" s="200">
        <f t="shared" si="37"/>
        <v>0</v>
      </c>
      <c r="R178" s="242">
        <f t="shared" si="45"/>
        <v>1</v>
      </c>
      <c r="S178" s="197"/>
      <c r="T178" s="198" t="str">
        <f>IF(ISNA(VLOOKUP(D178,'One year follow-up_inperson'!$C:$C,1,FALSE)),"No","Yes")</f>
        <v>No</v>
      </c>
    </row>
    <row r="179" spans="1:20" ht="87" customHeight="1">
      <c r="A179" s="410">
        <v>152</v>
      </c>
      <c r="B179" s="409"/>
      <c r="C179" s="125" t="str">
        <f t="shared" si="30"/>
        <v>265</v>
      </c>
      <c r="D179" s="125">
        <v>26517</v>
      </c>
      <c r="E179" s="296" t="s">
        <v>373</v>
      </c>
      <c r="F179" s="125" t="s">
        <v>4</v>
      </c>
      <c r="G179" s="296">
        <v>24</v>
      </c>
      <c r="H179" s="296" t="s">
        <v>3</v>
      </c>
      <c r="I179" s="296" t="s">
        <v>391</v>
      </c>
      <c r="J179" s="199">
        <f t="shared" si="38"/>
        <v>0</v>
      </c>
      <c r="K179" s="199">
        <f t="shared" si="39"/>
        <v>1</v>
      </c>
      <c r="L179" s="199">
        <f t="shared" si="40"/>
        <v>0</v>
      </c>
      <c r="M179" s="199">
        <f t="shared" si="41"/>
        <v>1</v>
      </c>
      <c r="N179" s="200">
        <f t="shared" si="42"/>
        <v>1</v>
      </c>
      <c r="O179" s="200">
        <f t="shared" si="43"/>
        <v>0</v>
      </c>
      <c r="P179" s="200">
        <f t="shared" si="36"/>
        <v>0</v>
      </c>
      <c r="Q179" s="200">
        <f t="shared" si="37"/>
        <v>0</v>
      </c>
      <c r="R179" s="242">
        <f t="shared" si="45"/>
        <v>1</v>
      </c>
      <c r="S179" s="197"/>
      <c r="T179" s="198" t="str">
        <f>IF(ISNA(VLOOKUP(D179,'One year follow-up_inperson'!$C:$C,1,FALSE)),"No","Yes")</f>
        <v>No</v>
      </c>
    </row>
    <row r="180" spans="1:20" ht="45" customHeight="1">
      <c r="A180" s="410">
        <v>153</v>
      </c>
      <c r="B180" s="409"/>
      <c r="C180" s="125" t="str">
        <f t="shared" si="30"/>
        <v>265</v>
      </c>
      <c r="D180" s="125">
        <v>26519</v>
      </c>
      <c r="E180" s="296" t="s">
        <v>374</v>
      </c>
      <c r="F180" s="125" t="s">
        <v>2</v>
      </c>
      <c r="G180" s="296">
        <v>23</v>
      </c>
      <c r="H180" s="296" t="s">
        <v>3</v>
      </c>
      <c r="I180" s="136" t="s">
        <v>459</v>
      </c>
      <c r="J180" s="199">
        <f t="shared" si="38"/>
        <v>0</v>
      </c>
      <c r="K180" s="199">
        <f t="shared" si="39"/>
        <v>0</v>
      </c>
      <c r="L180" s="199">
        <f t="shared" si="40"/>
        <v>0</v>
      </c>
      <c r="M180" s="199">
        <f t="shared" si="41"/>
        <v>0</v>
      </c>
      <c r="N180" s="200">
        <f t="shared" si="42"/>
        <v>0</v>
      </c>
      <c r="O180" s="200">
        <f t="shared" si="43"/>
        <v>0</v>
      </c>
      <c r="P180" s="200">
        <f t="shared" si="36"/>
        <v>0</v>
      </c>
      <c r="Q180" s="200">
        <f t="shared" si="37"/>
        <v>0</v>
      </c>
      <c r="R180" s="242">
        <f t="shared" si="45"/>
        <v>0</v>
      </c>
      <c r="S180" s="197"/>
      <c r="T180" s="198" t="str">
        <f>IF(ISNA(VLOOKUP(D180,'One year follow-up_inperson'!$C:$C,1,FALSE)),"No","Yes")</f>
        <v>No</v>
      </c>
    </row>
    <row r="181" spans="1:20" ht="60.6" customHeight="1">
      <c r="A181" s="410">
        <v>154</v>
      </c>
      <c r="B181" s="409"/>
      <c r="C181" s="125" t="str">
        <f t="shared" si="30"/>
        <v>265</v>
      </c>
      <c r="D181" s="125">
        <v>26527</v>
      </c>
      <c r="E181" s="296" t="s">
        <v>375</v>
      </c>
      <c r="F181" s="125" t="s">
        <v>2</v>
      </c>
      <c r="G181" s="296">
        <v>20</v>
      </c>
      <c r="H181" s="296" t="s">
        <v>5</v>
      </c>
      <c r="I181" s="296"/>
      <c r="J181" s="199">
        <f t="shared" si="38"/>
        <v>0</v>
      </c>
      <c r="K181" s="199">
        <f t="shared" si="39"/>
        <v>0</v>
      </c>
      <c r="L181" s="199">
        <f t="shared" si="40"/>
        <v>0</v>
      </c>
      <c r="M181" s="199">
        <f t="shared" si="41"/>
        <v>0</v>
      </c>
      <c r="N181" s="200">
        <f t="shared" si="42"/>
        <v>0</v>
      </c>
      <c r="O181" s="200">
        <f t="shared" si="43"/>
        <v>0</v>
      </c>
      <c r="P181" s="200">
        <f t="shared" si="36"/>
        <v>0</v>
      </c>
      <c r="Q181" s="200">
        <f t="shared" si="37"/>
        <v>0</v>
      </c>
      <c r="R181" s="242">
        <f t="shared" si="45"/>
        <v>0</v>
      </c>
      <c r="S181" s="197"/>
      <c r="T181" s="198" t="str">
        <f>IF(ISNA(VLOOKUP(D181,'One year follow-up_inperson'!$C:$C,1,FALSE)),"No","Yes")</f>
        <v>No</v>
      </c>
    </row>
    <row r="182" spans="1:20" ht="70.8" customHeight="1">
      <c r="A182" s="410">
        <v>155</v>
      </c>
      <c r="B182" s="409"/>
      <c r="C182" s="125" t="str">
        <f t="shared" si="30"/>
        <v>265</v>
      </c>
      <c r="D182" s="125">
        <v>26528</v>
      </c>
      <c r="E182" s="296" t="s">
        <v>376</v>
      </c>
      <c r="F182" s="125" t="s">
        <v>2</v>
      </c>
      <c r="G182" s="296">
        <v>21</v>
      </c>
      <c r="H182" s="296" t="s">
        <v>5</v>
      </c>
      <c r="I182" s="296"/>
      <c r="J182" s="199">
        <f t="shared" si="38"/>
        <v>0</v>
      </c>
      <c r="K182" s="199">
        <f t="shared" si="39"/>
        <v>0</v>
      </c>
      <c r="L182" s="199">
        <f t="shared" si="40"/>
        <v>0</v>
      </c>
      <c r="M182" s="199">
        <f t="shared" si="41"/>
        <v>0</v>
      </c>
      <c r="N182" s="200">
        <f t="shared" si="42"/>
        <v>0</v>
      </c>
      <c r="O182" s="200">
        <f t="shared" si="43"/>
        <v>0</v>
      </c>
      <c r="P182" s="200">
        <f t="shared" si="36"/>
        <v>0</v>
      </c>
      <c r="Q182" s="200">
        <f t="shared" si="37"/>
        <v>0</v>
      </c>
      <c r="R182" s="242">
        <f t="shared" si="45"/>
        <v>0</v>
      </c>
      <c r="S182" s="197"/>
      <c r="T182" s="198" t="str">
        <f>IF(ISNA(VLOOKUP(D182,'One year follow-up_inperson'!$C:$C,1,FALSE)),"No","Yes")</f>
        <v>No</v>
      </c>
    </row>
    <row r="183" spans="1:20" ht="64.8" customHeight="1">
      <c r="A183" s="410">
        <v>156</v>
      </c>
      <c r="B183" s="409"/>
      <c r="C183" s="125" t="str">
        <f t="shared" si="30"/>
        <v>265</v>
      </c>
      <c r="D183" s="125">
        <v>26536</v>
      </c>
      <c r="E183" s="296" t="s">
        <v>377</v>
      </c>
      <c r="F183" s="125" t="s">
        <v>2</v>
      </c>
      <c r="G183" s="296">
        <v>20</v>
      </c>
      <c r="H183" s="296" t="s">
        <v>3</v>
      </c>
      <c r="I183" s="136" t="s">
        <v>458</v>
      </c>
      <c r="J183" s="199">
        <f t="shared" si="38"/>
        <v>0</v>
      </c>
      <c r="K183" s="199">
        <f t="shared" si="39"/>
        <v>0</v>
      </c>
      <c r="L183" s="199">
        <f t="shared" si="40"/>
        <v>0</v>
      </c>
      <c r="M183" s="199">
        <f t="shared" si="41"/>
        <v>0</v>
      </c>
      <c r="N183" s="200">
        <f t="shared" si="42"/>
        <v>0</v>
      </c>
      <c r="O183" s="200">
        <f t="shared" si="43"/>
        <v>0</v>
      </c>
      <c r="P183" s="200">
        <f t="shared" si="36"/>
        <v>0</v>
      </c>
      <c r="Q183" s="200">
        <f t="shared" si="37"/>
        <v>0</v>
      </c>
      <c r="R183" s="242">
        <f t="shared" si="45"/>
        <v>0</v>
      </c>
      <c r="S183" s="197"/>
      <c r="T183" s="198" t="str">
        <f>IF(ISNA(VLOOKUP(D183,'One year follow-up_inperson'!$C:$C,1,FALSE)),"No","Yes")</f>
        <v>No</v>
      </c>
    </row>
    <row r="184" spans="1:20" ht="60.6" customHeight="1">
      <c r="A184" s="410">
        <v>157</v>
      </c>
      <c r="B184" s="409"/>
      <c r="C184" s="125" t="str">
        <f t="shared" si="30"/>
        <v>265</v>
      </c>
      <c r="D184" s="125">
        <v>26538</v>
      </c>
      <c r="E184" s="296" t="s">
        <v>378</v>
      </c>
      <c r="F184" s="125" t="s">
        <v>2</v>
      </c>
      <c r="G184" s="296">
        <v>29</v>
      </c>
      <c r="H184" s="296" t="s">
        <v>3</v>
      </c>
      <c r="I184" s="296" t="s">
        <v>392</v>
      </c>
      <c r="J184" s="199">
        <f t="shared" si="38"/>
        <v>1</v>
      </c>
      <c r="K184" s="199">
        <f t="shared" si="39"/>
        <v>1</v>
      </c>
      <c r="L184" s="199">
        <f t="shared" si="40"/>
        <v>0</v>
      </c>
      <c r="M184" s="199">
        <f t="shared" si="41"/>
        <v>1</v>
      </c>
      <c r="N184" s="200">
        <f t="shared" si="42"/>
        <v>1</v>
      </c>
      <c r="O184" s="200">
        <f t="shared" si="43"/>
        <v>0</v>
      </c>
      <c r="P184" s="200">
        <f t="shared" si="36"/>
        <v>0</v>
      </c>
      <c r="Q184" s="200">
        <f t="shared" si="37"/>
        <v>0</v>
      </c>
      <c r="R184" s="242">
        <f t="shared" si="45"/>
        <v>1</v>
      </c>
      <c r="S184" s="197"/>
      <c r="T184" s="198" t="str">
        <f>IF(ISNA(VLOOKUP(D184,'One year follow-up_inperson'!$C:$C,1,FALSE)),"No","Yes")</f>
        <v>No</v>
      </c>
    </row>
    <row r="185" spans="1:20" ht="60.6" customHeight="1">
      <c r="A185" s="410">
        <v>158</v>
      </c>
      <c r="B185" s="409"/>
      <c r="C185" s="125" t="str">
        <f t="shared" si="30"/>
        <v>265</v>
      </c>
      <c r="D185" s="125">
        <v>26539</v>
      </c>
      <c r="E185" s="296" t="s">
        <v>379</v>
      </c>
      <c r="F185" s="125" t="s">
        <v>2</v>
      </c>
      <c r="G185" s="296">
        <v>23</v>
      </c>
      <c r="H185" s="296" t="s">
        <v>3</v>
      </c>
      <c r="I185" s="296" t="s">
        <v>393</v>
      </c>
      <c r="J185" s="199">
        <f t="shared" si="38"/>
        <v>0</v>
      </c>
      <c r="K185" s="199">
        <f t="shared" si="39"/>
        <v>0</v>
      </c>
      <c r="L185" s="199">
        <f t="shared" si="40"/>
        <v>1</v>
      </c>
      <c r="M185" s="199">
        <f t="shared" si="41"/>
        <v>1</v>
      </c>
      <c r="N185" s="200">
        <f t="shared" si="42"/>
        <v>0</v>
      </c>
      <c r="O185" s="200">
        <f t="shared" si="43"/>
        <v>1</v>
      </c>
      <c r="P185" s="200">
        <f t="shared" si="36"/>
        <v>0</v>
      </c>
      <c r="Q185" s="200">
        <f t="shared" si="37"/>
        <v>0</v>
      </c>
      <c r="R185" s="242">
        <f t="shared" si="45"/>
        <v>1</v>
      </c>
      <c r="S185" s="197"/>
      <c r="T185" s="198" t="str">
        <f>IF(ISNA(VLOOKUP(D185,'One year follow-up_inperson'!$C:$C,1,FALSE)),"No","Yes")</f>
        <v>No</v>
      </c>
    </row>
    <row r="186" spans="1:20" ht="41.4">
      <c r="A186" s="410">
        <v>159</v>
      </c>
      <c r="B186" s="409"/>
      <c r="C186" s="125" t="str">
        <f t="shared" si="30"/>
        <v>265</v>
      </c>
      <c r="D186" s="125">
        <v>26540</v>
      </c>
      <c r="E186" s="296" t="s">
        <v>380</v>
      </c>
      <c r="F186" s="125" t="s">
        <v>2</v>
      </c>
      <c r="G186" s="296">
        <v>24</v>
      </c>
      <c r="H186" s="296" t="s">
        <v>3</v>
      </c>
      <c r="I186" s="296" t="s">
        <v>394</v>
      </c>
      <c r="J186" s="199">
        <f t="shared" si="38"/>
        <v>0</v>
      </c>
      <c r="K186" s="199">
        <f t="shared" si="39"/>
        <v>1</v>
      </c>
      <c r="L186" s="199">
        <f t="shared" si="40"/>
        <v>0</v>
      </c>
      <c r="M186" s="199">
        <f t="shared" si="41"/>
        <v>1</v>
      </c>
      <c r="N186" s="200">
        <f t="shared" si="42"/>
        <v>1</v>
      </c>
      <c r="O186" s="200">
        <f t="shared" si="43"/>
        <v>0</v>
      </c>
      <c r="P186" s="200">
        <f t="shared" si="36"/>
        <v>0</v>
      </c>
      <c r="Q186" s="200">
        <f t="shared" si="37"/>
        <v>0</v>
      </c>
      <c r="R186" s="242">
        <f t="shared" si="45"/>
        <v>1</v>
      </c>
      <c r="S186" s="197"/>
      <c r="T186" s="198" t="str">
        <f>IF(ISNA(VLOOKUP(D186,'One year follow-up_inperson'!$C:$C,1,FALSE)),"No","Yes")</f>
        <v>No</v>
      </c>
    </row>
    <row r="187" spans="1:20" ht="66.599999999999994" customHeight="1">
      <c r="A187" s="410">
        <v>160</v>
      </c>
      <c r="B187" s="409"/>
      <c r="C187" s="125" t="str">
        <f t="shared" si="30"/>
        <v>265</v>
      </c>
      <c r="D187" s="125">
        <v>26541</v>
      </c>
      <c r="E187" s="296" t="s">
        <v>381</v>
      </c>
      <c r="F187" s="125" t="s">
        <v>2</v>
      </c>
      <c r="G187" s="296">
        <v>24</v>
      </c>
      <c r="H187" s="296" t="s">
        <v>3</v>
      </c>
      <c r="I187" s="296" t="s">
        <v>395</v>
      </c>
      <c r="J187" s="199">
        <f t="shared" si="38"/>
        <v>0</v>
      </c>
      <c r="K187" s="199">
        <f t="shared" si="39"/>
        <v>0</v>
      </c>
      <c r="L187" s="199">
        <f t="shared" si="40"/>
        <v>0</v>
      </c>
      <c r="M187" s="199">
        <f t="shared" si="41"/>
        <v>0</v>
      </c>
      <c r="N187" s="200">
        <f t="shared" si="42"/>
        <v>0</v>
      </c>
      <c r="O187" s="200">
        <f t="shared" si="43"/>
        <v>1</v>
      </c>
      <c r="P187" s="200">
        <f t="shared" si="36"/>
        <v>0</v>
      </c>
      <c r="Q187" s="200">
        <f t="shared" si="37"/>
        <v>0</v>
      </c>
      <c r="R187" s="242">
        <f t="shared" si="45"/>
        <v>1</v>
      </c>
      <c r="S187" s="197"/>
      <c r="T187" s="198" t="str">
        <f>IF(ISNA(VLOOKUP(D187,'One year follow-up_inperson'!$C:$C,1,FALSE)),"No","Yes")</f>
        <v>No</v>
      </c>
    </row>
    <row r="188" spans="1:20" ht="73.2" customHeight="1">
      <c r="A188" s="410">
        <v>161</v>
      </c>
      <c r="B188" s="409"/>
      <c r="C188" s="125" t="str">
        <f t="shared" si="30"/>
        <v>265</v>
      </c>
      <c r="D188" s="125">
        <v>26542</v>
      </c>
      <c r="E188" s="296" t="s">
        <v>382</v>
      </c>
      <c r="F188" s="125" t="s">
        <v>2</v>
      </c>
      <c r="G188" s="296">
        <v>24</v>
      </c>
      <c r="H188" s="296" t="s">
        <v>3</v>
      </c>
      <c r="I188" s="296" t="s">
        <v>396</v>
      </c>
      <c r="J188" s="199">
        <f t="shared" si="38"/>
        <v>0</v>
      </c>
      <c r="K188" s="199">
        <f t="shared" si="39"/>
        <v>0</v>
      </c>
      <c r="L188" s="199">
        <f t="shared" si="40"/>
        <v>0</v>
      </c>
      <c r="M188" s="199">
        <f t="shared" si="41"/>
        <v>0</v>
      </c>
      <c r="N188" s="200">
        <f t="shared" si="42"/>
        <v>0</v>
      </c>
      <c r="O188" s="200">
        <f t="shared" si="43"/>
        <v>1</v>
      </c>
      <c r="P188" s="200">
        <f t="shared" si="36"/>
        <v>0</v>
      </c>
      <c r="Q188" s="200">
        <f t="shared" si="37"/>
        <v>0</v>
      </c>
      <c r="R188" s="242">
        <f t="shared" si="45"/>
        <v>1</v>
      </c>
      <c r="S188" s="197"/>
      <c r="T188" s="198" t="str">
        <f>IF(ISNA(VLOOKUP(D188,'One year follow-up_inperson'!$C:$C,1,FALSE)),"No","Yes")</f>
        <v>No</v>
      </c>
    </row>
  </sheetData>
  <sortState xmlns:xlrd2="http://schemas.microsoft.com/office/spreadsheetml/2017/richdata2" ref="G2:H9">
    <sortCondition ref="G2:G9"/>
  </sortState>
  <mergeCells count="22">
    <mergeCell ref="F12:G12"/>
    <mergeCell ref="J26:L26"/>
    <mergeCell ref="M26:Q26"/>
    <mergeCell ref="R26:R27"/>
    <mergeCell ref="T26:T27"/>
    <mergeCell ref="H26:H27"/>
    <mergeCell ref="I26:I27"/>
    <mergeCell ref="A26:A27"/>
    <mergeCell ref="C26:C27"/>
    <mergeCell ref="F2:G2"/>
    <mergeCell ref="F3:G3"/>
    <mergeCell ref="F7:G7"/>
    <mergeCell ref="F6:G6"/>
    <mergeCell ref="F8:G8"/>
    <mergeCell ref="F9:G9"/>
    <mergeCell ref="G26:G27"/>
    <mergeCell ref="F26:F27"/>
    <mergeCell ref="D26:D27"/>
    <mergeCell ref="F4:G4"/>
    <mergeCell ref="F5:G5"/>
    <mergeCell ref="F10:G10"/>
    <mergeCell ref="E26:E27"/>
  </mergeCells>
  <conditionalFormatting sqref="D28:E106 D125:E166 D1:E26 D27:D41 D189:E1048576">
    <cfRule type="containsText" dxfId="4" priority="18" operator="containsText" text="185">
      <formula>NOT(ISERROR(SEARCH("185",D1)))</formula>
    </cfRule>
  </conditionalFormatting>
  <conditionalFormatting sqref="E107:E124">
    <cfRule type="duplicateValues" dxfId="3" priority="16"/>
  </conditionalFormatting>
  <conditionalFormatting sqref="E167:E188">
    <cfRule type="duplicateValues" dxfId="2" priority="15"/>
  </conditionalFormatting>
  <conditionalFormatting sqref="H28:H43">
    <cfRule type="containsText" priority="62" operator="containsText" text="No">
      <formula>NOT(ISERROR(SEARCH("No",H28)))</formula>
    </cfRule>
  </conditionalFormatting>
  <conditionalFormatting sqref="R28:R188">
    <cfRule type="cellIs" dxfId="1" priority="31" operator="equal">
      <formula>0</formula>
    </cfRule>
  </conditionalFormatting>
  <conditionalFormatting sqref="H2:H9">
    <cfRule type="duplicateValues" dxfId="0" priority="89"/>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999"/>
  <sheetViews>
    <sheetView tabSelected="1" topLeftCell="M5" zoomScale="96" workbookViewId="0">
      <selection activeCell="A40" sqref="A40:XFD50"/>
    </sheetView>
  </sheetViews>
  <sheetFormatPr defaultColWidth="11" defaultRowHeight="13.8"/>
  <cols>
    <col min="2" max="2" width="55.5" customWidth="1"/>
    <col min="10" max="10" width="18.69921875" customWidth="1"/>
    <col min="12" max="12" width="9.296875" customWidth="1"/>
    <col min="17" max="17" width="25.8984375" customWidth="1"/>
    <col min="19" max="19" width="8.796875" customWidth="1"/>
    <col min="21" max="21" width="15.69921875" customWidth="1"/>
    <col min="22" max="22" width="11.69921875" customWidth="1"/>
    <col min="24" max="24" width="11" customWidth="1"/>
    <col min="25" max="25" width="13.09765625" customWidth="1"/>
    <col min="28" max="28" width="13" customWidth="1"/>
  </cols>
  <sheetData>
    <row r="1" spans="2:31" ht="14.4">
      <c r="J1" s="6"/>
      <c r="K1" s="6"/>
      <c r="L1" s="6"/>
    </row>
    <row r="2" spans="2:31" ht="25.8">
      <c r="B2" s="105"/>
      <c r="F2" s="23"/>
      <c r="G2" s="23"/>
      <c r="J2" s="24"/>
      <c r="K2" s="6"/>
      <c r="L2" s="6"/>
    </row>
    <row r="3" spans="2:31" ht="15" thickBot="1">
      <c r="B3" s="1"/>
      <c r="C3" s="1"/>
      <c r="D3" s="1"/>
      <c r="E3" s="1"/>
      <c r="J3" s="24"/>
      <c r="K3" s="25" t="s">
        <v>35</v>
      </c>
      <c r="L3" s="6"/>
    </row>
    <row r="4" spans="2:31" ht="63.6" customHeight="1" thickBot="1">
      <c r="C4" s="494" t="s">
        <v>36</v>
      </c>
      <c r="D4" s="495"/>
      <c r="E4" s="494" t="s">
        <v>37</v>
      </c>
      <c r="F4" s="495"/>
      <c r="G4" s="496" t="s">
        <v>38</v>
      </c>
      <c r="H4" s="497"/>
      <c r="I4" s="496" t="s">
        <v>39</v>
      </c>
      <c r="J4" s="497"/>
      <c r="K4" s="498" t="s">
        <v>40</v>
      </c>
      <c r="L4" s="499"/>
      <c r="M4" s="498" t="s">
        <v>41</v>
      </c>
      <c r="N4" s="499"/>
      <c r="O4" s="492" t="s">
        <v>42</v>
      </c>
      <c r="P4" s="493"/>
      <c r="R4" s="24"/>
      <c r="S4" s="6"/>
      <c r="T4" s="6"/>
      <c r="Y4" s="491">
        <v>2023</v>
      </c>
      <c r="Z4" s="491"/>
    </row>
    <row r="5" spans="2:31" ht="38.4" customHeight="1" thickBot="1">
      <c r="B5" s="26" t="s">
        <v>43</v>
      </c>
      <c r="C5" s="27"/>
      <c r="D5" s="28"/>
      <c r="E5" s="27"/>
      <c r="F5" s="28"/>
      <c r="G5" s="29"/>
      <c r="H5" s="30"/>
      <c r="I5" s="27"/>
      <c r="J5" s="28"/>
      <c r="K5" s="27"/>
      <c r="L5" s="28"/>
      <c r="M5" s="27"/>
      <c r="N5" s="28"/>
      <c r="O5" s="29"/>
      <c r="P5" s="30"/>
      <c r="R5" s="24"/>
      <c r="S5" s="6"/>
      <c r="T5" s="6"/>
      <c r="U5" s="6"/>
      <c r="V5" s="424" t="s">
        <v>102</v>
      </c>
      <c r="W5" s="425"/>
      <c r="X5" s="426"/>
      <c r="Y5" s="500" t="s">
        <v>89</v>
      </c>
      <c r="Z5" s="501"/>
      <c r="AA5" s="502"/>
      <c r="AB5" s="503" t="s">
        <v>104</v>
      </c>
      <c r="AC5" s="504"/>
      <c r="AD5" s="505"/>
    </row>
    <row r="6" spans="2:31" ht="18.600000000000001" customHeight="1" thickBot="1">
      <c r="B6" s="3" t="s">
        <v>44</v>
      </c>
      <c r="C6" s="31">
        <f ca="1">SUM($D$31:$D$40)</f>
        <v>161</v>
      </c>
      <c r="D6" s="28"/>
      <c r="E6" s="31" t="e">
        <f ca="1">SUM(D47:D73)</f>
        <v>#REF!</v>
      </c>
      <c r="F6" s="28"/>
      <c r="G6" s="27">
        <f>COUNTIF('six months follow-up_in person'!$T$28:$T$188,"No")</f>
        <v>161</v>
      </c>
      <c r="H6" s="28"/>
      <c r="I6" s="31">
        <f>COUNTIF('One year follow-up_inperson'!$R$23:$R$159,"Yes")</f>
        <v>0</v>
      </c>
      <c r="J6" s="349"/>
      <c r="K6" s="27">
        <f>COUNTIF('six months follow-up_in person'!$T$42:$T$42,"Yes")</f>
        <v>0</v>
      </c>
      <c r="L6" s="28"/>
      <c r="M6" s="27">
        <f>COUNTIF('One year follow-up_inperson'!$R$23:$R$4499,"No")</f>
        <v>0</v>
      </c>
      <c r="N6" s="28"/>
      <c r="O6" s="31">
        <f>G6</f>
        <v>161</v>
      </c>
      <c r="P6" s="28"/>
      <c r="Q6" s="264"/>
      <c r="R6" s="24"/>
      <c r="S6" s="6"/>
      <c r="T6" s="430" t="s">
        <v>108</v>
      </c>
      <c r="U6" s="431"/>
      <c r="V6" s="204" t="s">
        <v>103</v>
      </c>
      <c r="W6" s="206" t="s">
        <v>105</v>
      </c>
      <c r="X6" s="204" t="s">
        <v>74</v>
      </c>
      <c r="Y6" s="203" t="s">
        <v>103</v>
      </c>
      <c r="Z6" s="204" t="s">
        <v>105</v>
      </c>
      <c r="AA6" s="205" t="s">
        <v>74</v>
      </c>
      <c r="AB6" s="203" t="s">
        <v>103</v>
      </c>
      <c r="AC6" s="204" t="s">
        <v>105</v>
      </c>
      <c r="AD6" s="205" t="s">
        <v>74</v>
      </c>
    </row>
    <row r="7" spans="2:31" ht="20.399999999999999" customHeight="1">
      <c r="C7" s="32"/>
      <c r="D7" s="28"/>
      <c r="E7" s="27"/>
      <c r="F7" s="28"/>
      <c r="G7" s="27"/>
      <c r="H7" s="28"/>
      <c r="I7" s="27"/>
      <c r="J7" s="28"/>
      <c r="K7" s="27"/>
      <c r="L7" s="28"/>
      <c r="M7" s="27"/>
      <c r="N7" s="28"/>
      <c r="O7" s="27"/>
      <c r="P7" s="28"/>
      <c r="Q7" s="264"/>
      <c r="T7" s="432" t="s">
        <v>90</v>
      </c>
      <c r="U7" s="433"/>
      <c r="V7" s="207">
        <f>O13</f>
        <v>42</v>
      </c>
      <c r="W7" s="177">
        <f ca="1">E41</f>
        <v>161</v>
      </c>
      <c r="X7" s="208">
        <f ca="1">V7/W7</f>
        <v>0.2608695652173913</v>
      </c>
      <c r="Y7" s="209">
        <v>0</v>
      </c>
      <c r="Z7" s="210">
        <v>15</v>
      </c>
      <c r="AA7" s="211">
        <f>Y7/Z7</f>
        <v>0</v>
      </c>
      <c r="AB7" s="212">
        <f>V7+Y7</f>
        <v>42</v>
      </c>
      <c r="AC7" s="213">
        <f ca="1">W7+Z7</f>
        <v>176</v>
      </c>
      <c r="AD7" s="211">
        <f ca="1">AB7/AC7</f>
        <v>0.23863636363636365</v>
      </c>
    </row>
    <row r="8" spans="2:31" ht="22.2" customHeight="1">
      <c r="B8" s="3" t="s">
        <v>45</v>
      </c>
      <c r="C8" s="21">
        <f>COUNTIF('six months follow-up_in person'!$H$28:$H$188,"Yes")</f>
        <v>159</v>
      </c>
      <c r="D8" s="33">
        <f ca="1">C8/C6</f>
        <v>0.98757763975155277</v>
      </c>
      <c r="E8" s="27">
        <f>COUNTIF('One year follow-up_inperson'!$F$23:$F$4510,"Yes")</f>
        <v>0</v>
      </c>
      <c r="F8" s="34" t="e">
        <f ca="1">E8/E6</f>
        <v>#REF!</v>
      </c>
      <c r="G8" s="27">
        <f>COUNTIFS('six months follow-up_in person'!$H$28:$H$188, "Yes",'six months follow-up_in person'!$T$28:$T$188,"No")</f>
        <v>159</v>
      </c>
      <c r="H8" s="34">
        <f>G8/G6</f>
        <v>0.98757763975155277</v>
      </c>
      <c r="I8" s="31">
        <f>COUNTIFS('One year follow-up_inperson'!$F$23:$F$4499, "Yes",'One year follow-up_inperson'!$R$23:$R$4499,"Yes")</f>
        <v>0</v>
      </c>
      <c r="J8" s="34" t="e">
        <f>I8/$I$6</f>
        <v>#DIV/0!</v>
      </c>
      <c r="K8" s="31">
        <f>COUNTIFS('six months follow-up_in person'!$H$37:$H$42, "Yes",'six months follow-up_in person'!$T$37:$T$42,"Yes")</f>
        <v>0</v>
      </c>
      <c r="L8" s="34" t="e">
        <f>K8/$K$6</f>
        <v>#DIV/0!</v>
      </c>
      <c r="M8" s="31">
        <f>COUNTIFS('One year follow-up_inperson'!$F$23:$F$4499,"Yes",'One year follow-up_inperson'!$R$23:$R$4499,"No")</f>
        <v>0</v>
      </c>
      <c r="N8" s="34" t="e">
        <f>M8/M6</f>
        <v>#DIV/0!</v>
      </c>
      <c r="O8" s="31">
        <f>SUM(E8,G8)</f>
        <v>159</v>
      </c>
      <c r="P8" s="270">
        <f>O8/$O$6</f>
        <v>0.98757763975155277</v>
      </c>
      <c r="T8" s="434" t="s">
        <v>91</v>
      </c>
      <c r="U8" s="435"/>
      <c r="V8" s="207">
        <f>O14</f>
        <v>9</v>
      </c>
      <c r="W8" s="177">
        <f ca="1">O41</f>
        <v>55</v>
      </c>
      <c r="X8" s="208">
        <f t="shared" ref="X8:X10" ca="1" si="0">V8/W8</f>
        <v>0.16363636363636364</v>
      </c>
      <c r="Y8" s="209">
        <v>1</v>
      </c>
      <c r="Z8" s="207" t="e">
        <f>#REF!+#REF!</f>
        <v>#REF!</v>
      </c>
      <c r="AA8" s="211" t="e">
        <f t="shared" ref="AA8:AA12" si="1">Y8/Z8</f>
        <v>#REF!</v>
      </c>
      <c r="AB8" s="212">
        <f t="shared" ref="AB8:AC12" si="2">V8+Y8</f>
        <v>10</v>
      </c>
      <c r="AC8" s="213" t="e">
        <f t="shared" ca="1" si="2"/>
        <v>#REF!</v>
      </c>
      <c r="AD8" s="211" t="e">
        <f t="shared" ref="AD8:AD11" ca="1" si="3">AB8/AC8</f>
        <v>#REF!</v>
      </c>
    </row>
    <row r="9" spans="2:31" ht="21.6" customHeight="1" thickBot="1">
      <c r="B9" s="3" t="s">
        <v>46</v>
      </c>
      <c r="C9" s="35">
        <f>COUNTIF('six months follow-up_in person'!$H$28:$H$188,"No")</f>
        <v>2</v>
      </c>
      <c r="D9" s="36">
        <f ca="1">C9/C6</f>
        <v>1.2422360248447204E-2</v>
      </c>
      <c r="E9" s="37">
        <f>COUNTIF('One year follow-up_inperson'!$F$23:$F$4510,"No")</f>
        <v>0</v>
      </c>
      <c r="F9" s="38" t="e">
        <f ca="1">E9/E6</f>
        <v>#REF!</v>
      </c>
      <c r="G9" s="37">
        <f>COUNTIFS('six months follow-up_in person'!$H$28:$H$188, "No",'six months follow-up_in person'!$T$28:$T$188,"No")</f>
        <v>2</v>
      </c>
      <c r="H9" s="38">
        <f>G9/G6</f>
        <v>1.2422360248447204E-2</v>
      </c>
      <c r="I9" s="39">
        <f>COUNTIFS('One year follow-up_inperson'!$F$23:$F$4499, "No",'One year follow-up_inperson'!$R$23:$R$4499,"Yes")</f>
        <v>0</v>
      </c>
      <c r="J9" s="38" t="e">
        <f t="shared" ref="J9" si="4">I9/$I$6</f>
        <v>#DIV/0!</v>
      </c>
      <c r="K9" s="39">
        <f>COUNTIFS('six months follow-up_in person'!$H$37:$H$42, "No",'six months follow-up_in person'!$T$37:$T$42,"Yes")</f>
        <v>0</v>
      </c>
      <c r="L9" s="38" t="e">
        <f t="shared" ref="L9" si="5">K9/$K$6</f>
        <v>#DIV/0!</v>
      </c>
      <c r="M9" s="39" t="e">
        <f>COUNTIFS('One year follow-up_inperson'!#REF!, "No",'One year follow-up_inperson'!#REF!,"No")</f>
        <v>#REF!</v>
      </c>
      <c r="N9" s="38" t="e">
        <f>M9/M6</f>
        <v>#REF!</v>
      </c>
      <c r="O9" s="39">
        <f>SUM(E9,G9)</f>
        <v>2</v>
      </c>
      <c r="P9" s="38">
        <f t="shared" ref="P9" si="6">O9/$O$6</f>
        <v>1.2422360248447204E-2</v>
      </c>
      <c r="T9" s="434" t="s">
        <v>92</v>
      </c>
      <c r="U9" s="435"/>
      <c r="V9" s="207">
        <f t="shared" ref="V9:V10" si="7">O15</f>
        <v>0</v>
      </c>
      <c r="W9" s="177">
        <f ca="1">F41</f>
        <v>0</v>
      </c>
      <c r="X9" s="208" t="e">
        <f t="shared" ca="1" si="0"/>
        <v>#DIV/0!</v>
      </c>
      <c r="Y9" s="209">
        <v>0</v>
      </c>
      <c r="Z9" s="207" t="e">
        <f>#REF!+#REF!</f>
        <v>#REF!</v>
      </c>
      <c r="AA9" s="211" t="e">
        <f t="shared" si="1"/>
        <v>#REF!</v>
      </c>
      <c r="AB9" s="212">
        <f t="shared" si="2"/>
        <v>0</v>
      </c>
      <c r="AC9" s="213" t="e">
        <f t="shared" ca="1" si="2"/>
        <v>#REF!</v>
      </c>
      <c r="AD9" s="211" t="e">
        <f t="shared" ca="1" si="3"/>
        <v>#REF!</v>
      </c>
    </row>
    <row r="10" spans="2:31" ht="17.399999999999999" customHeight="1">
      <c r="D10" s="40"/>
      <c r="F10" s="41"/>
      <c r="T10" s="434" t="s">
        <v>107</v>
      </c>
      <c r="U10" s="435"/>
      <c r="V10" s="207">
        <f t="shared" si="7"/>
        <v>3</v>
      </c>
      <c r="W10" s="177">
        <f>O6</f>
        <v>161</v>
      </c>
      <c r="X10" s="208">
        <f t="shared" si="0"/>
        <v>1.8633540372670808E-2</v>
      </c>
      <c r="Y10" s="209">
        <v>0</v>
      </c>
      <c r="Z10" s="207">
        <v>15</v>
      </c>
      <c r="AA10" s="211">
        <f t="shared" si="1"/>
        <v>0</v>
      </c>
      <c r="AB10" s="212">
        <f t="shared" si="2"/>
        <v>3</v>
      </c>
      <c r="AC10" s="213">
        <f t="shared" si="2"/>
        <v>176</v>
      </c>
      <c r="AD10" s="211">
        <f t="shared" si="3"/>
        <v>1.7045454545454544E-2</v>
      </c>
    </row>
    <row r="11" spans="2:31" ht="24.6" customHeight="1" thickBot="1">
      <c r="D11" s="40"/>
      <c r="F11" s="41"/>
      <c r="T11" s="434" t="s">
        <v>106</v>
      </c>
      <c r="U11" s="435"/>
      <c r="V11" s="207">
        <f>O17</f>
        <v>144</v>
      </c>
      <c r="W11" s="177">
        <f>O6</f>
        <v>161</v>
      </c>
      <c r="X11" s="271">
        <f>V11/W11</f>
        <v>0.89440993788819878</v>
      </c>
      <c r="Y11" s="209">
        <v>3</v>
      </c>
      <c r="Z11" s="207">
        <v>15</v>
      </c>
      <c r="AA11" s="273">
        <f t="shared" si="1"/>
        <v>0.2</v>
      </c>
      <c r="AB11" s="212">
        <f t="shared" si="2"/>
        <v>147</v>
      </c>
      <c r="AC11" s="213">
        <f>W11+Z11</f>
        <v>176</v>
      </c>
      <c r="AD11" s="273">
        <f t="shared" si="3"/>
        <v>0.83522727272727271</v>
      </c>
    </row>
    <row r="12" spans="2:31" ht="26.4" customHeight="1" thickBot="1">
      <c r="B12" s="26" t="s">
        <v>47</v>
      </c>
      <c r="C12" s="29"/>
      <c r="D12" s="42"/>
      <c r="E12" s="29"/>
      <c r="F12" s="43"/>
      <c r="G12" s="29"/>
      <c r="H12" s="30"/>
      <c r="I12" s="29"/>
      <c r="J12" s="30"/>
      <c r="K12" s="44"/>
      <c r="L12" s="45"/>
      <c r="M12" s="145"/>
      <c r="N12" s="146"/>
      <c r="O12" s="45"/>
      <c r="P12" s="30"/>
      <c r="T12" s="436" t="s">
        <v>30</v>
      </c>
      <c r="U12" s="437"/>
      <c r="V12" s="214">
        <f>O18</f>
        <v>148</v>
      </c>
      <c r="W12" s="215">
        <f>O6</f>
        <v>161</v>
      </c>
      <c r="X12" s="272">
        <f>V12/W12</f>
        <v>0.91925465838509313</v>
      </c>
      <c r="Y12" s="217">
        <v>4</v>
      </c>
      <c r="Z12" s="218">
        <v>15</v>
      </c>
      <c r="AA12" s="274">
        <f t="shared" si="1"/>
        <v>0.26666666666666666</v>
      </c>
      <c r="AB12" s="219">
        <f t="shared" si="2"/>
        <v>152</v>
      </c>
      <c r="AC12" s="220">
        <f>W12+Z12</f>
        <v>176</v>
      </c>
      <c r="AD12" s="274">
        <f>AB12/AC12</f>
        <v>0.86363636363636365</v>
      </c>
    </row>
    <row r="13" spans="2:31" ht="14.4">
      <c r="B13" s="3" t="s">
        <v>48</v>
      </c>
      <c r="C13" s="46">
        <f>COUNTIF('six months follow-up_in person'!$N$28:$N$188, 1)</f>
        <v>42</v>
      </c>
      <c r="D13" s="47">
        <f ca="1">C13/E41</f>
        <v>0.2608695652173913</v>
      </c>
      <c r="E13" s="46">
        <f>COUNTIF('One year follow-up_inperson'!$L$23:$L$4510, 1)</f>
        <v>0</v>
      </c>
      <c r="F13" s="47" t="e">
        <f ca="1">E13/E74</f>
        <v>#REF!</v>
      </c>
      <c r="G13" s="48">
        <f>COUNTIFS('six months follow-up_in person'!$N$28:$N$188, 1,'six months follow-up_in person'!$T$28:$T$188,"No")</f>
        <v>42</v>
      </c>
      <c r="H13" s="47">
        <f ca="1">G13/M41</f>
        <v>0.2608695652173913</v>
      </c>
      <c r="I13" s="31">
        <f>COUNTIFS('One year follow-up_inperson'!$L$23:$L$4499, 1,'One year follow-up_inperson'!$R$23:$R$4499,"Yes")</f>
        <v>0</v>
      </c>
      <c r="J13" s="47" t="e">
        <f ca="1">I13/M74</f>
        <v>#REF!</v>
      </c>
      <c r="K13" s="49">
        <f>COUNTIFS('six months follow-up_in person'!$N$37:$N$42, 1,'six months follow-up_in person'!$T$37:$T$42,"Yes")</f>
        <v>0</v>
      </c>
      <c r="L13" s="142">
        <f ca="1">K13/T41</f>
        <v>0</v>
      </c>
      <c r="M13" s="147" t="e">
        <f>COUNTIFS('One year follow-up_inperson'!#REF!, 1,'One year follow-up_inperson'!#REF!,"No")</f>
        <v>#REF!</v>
      </c>
      <c r="N13" s="148" t="e">
        <f ca="1">M13/T74</f>
        <v>#REF!</v>
      </c>
      <c r="O13" s="143">
        <f>SUM(E13,G13)</f>
        <v>42</v>
      </c>
      <c r="P13" s="267" t="e">
        <f ca="1">O13/(SUM($E$74,$M$41))</f>
        <v>#REF!</v>
      </c>
      <c r="S13" s="41"/>
      <c r="T13" s="50"/>
      <c r="U13" s="49"/>
      <c r="V13" s="41"/>
      <c r="W13" s="41"/>
      <c r="X13" s="3"/>
      <c r="AE13" s="78"/>
    </row>
    <row r="14" spans="2:31" ht="14.4">
      <c r="B14" s="3" t="s">
        <v>49</v>
      </c>
      <c r="C14" s="46">
        <f>COUNTIF('six months follow-up_in person'!$O$28:$O$188, 1)</f>
        <v>9</v>
      </c>
      <c r="D14" s="47">
        <f ca="1">C14/G41</f>
        <v>0.13235294117647059</v>
      </c>
      <c r="E14" s="46">
        <f>COUNTIF('One year follow-up_inperson'!$M$23:$M$4510, "1")</f>
        <v>0</v>
      </c>
      <c r="F14" s="47" t="e">
        <f ca="1">E14/G74</f>
        <v>#REF!</v>
      </c>
      <c r="G14" s="48">
        <f>COUNTIFS('six months follow-up_in person'!$O$28:$O$188, 1,'six months follow-up_in person'!$T$28:$T$188,"No")</f>
        <v>9</v>
      </c>
      <c r="H14" s="47">
        <f ca="1">G14/O41</f>
        <v>0.16363636363636364</v>
      </c>
      <c r="I14" s="31">
        <f>COUNTIFS('One year follow-up_inperson'!$M$23:$M$4499, 1,'One year follow-up_inperson'!$R$23:$R$4499,"Yes")</f>
        <v>0</v>
      </c>
      <c r="J14" s="47" t="e">
        <f ca="1">I14/O74</f>
        <v>#REF!</v>
      </c>
      <c r="K14" s="49">
        <f>COUNTIFS('six months follow-up_in person'!$O$37:$O$42, 1,'six months follow-up_in person'!$T$37:$T$42,"Yes")</f>
        <v>0</v>
      </c>
      <c r="L14" s="142">
        <f ca="1">K14/V41</f>
        <v>0</v>
      </c>
      <c r="M14" s="147" t="e">
        <f>COUNTIFS('One year follow-up_inperson'!#REF!, 1,'One year follow-up_inperson'!#REF!,"No")</f>
        <v>#REF!</v>
      </c>
      <c r="N14" s="148" t="e">
        <f ca="1">M14/V74</f>
        <v>#REF!</v>
      </c>
      <c r="O14" s="143">
        <f t="shared" ref="O14:O15" si="8">SUM(E14,G14)</f>
        <v>9</v>
      </c>
      <c r="P14" s="267" t="e">
        <f ca="1">O14/SUM(G74,O41)</f>
        <v>#REF!</v>
      </c>
      <c r="S14" s="41"/>
    </row>
    <row r="15" spans="2:31" ht="17.399999999999999" customHeight="1">
      <c r="B15" s="369" t="s">
        <v>118</v>
      </c>
      <c r="C15" s="46">
        <f>COUNTIF('six months follow-up_in person'!$P$28:$P$188, 1)</f>
        <v>0</v>
      </c>
      <c r="D15" s="47" t="e">
        <f ca="1">C15/F41</f>
        <v>#DIV/0!</v>
      </c>
      <c r="E15" s="46">
        <f>COUNTIF('One year follow-up_inperson'!$N$23:$N$4510, "1")</f>
        <v>0</v>
      </c>
      <c r="F15" s="47" t="str">
        <f ca="1">IFERROR(E15/F74, "NA")</f>
        <v>NA</v>
      </c>
      <c r="G15" s="48">
        <f>COUNTIFS('six months follow-up_in person'!$P$28:$P$188, 1,'six months follow-up_in person'!$T$28:$T$188,"No")</f>
        <v>0</v>
      </c>
      <c r="H15" s="47" t="e">
        <f>G15/N41</f>
        <v>#DIV/0!</v>
      </c>
      <c r="I15" s="31">
        <f>COUNTIFS('One year follow-up_inperson'!$N$23:$N$4499, 1,'One year follow-up_inperson'!$R$23:$R$4499,"Yes")</f>
        <v>0</v>
      </c>
      <c r="J15" s="47" t="e">
        <f ca="1">I15/N74</f>
        <v>#REF!</v>
      </c>
      <c r="K15" s="49">
        <f>COUNTIFS('six months follow-up_in person'!$P$37:$P$42, 1,'six months follow-up_in person'!$T$37:$T$42,"Yes")</f>
        <v>0</v>
      </c>
      <c r="L15" s="142">
        <f ca="1">K15/U41</f>
        <v>0</v>
      </c>
      <c r="M15" s="147" t="e">
        <f>COUNTIFS('One year follow-up_inperson'!#REF!, 1,'One year follow-up_inperson'!#REF!,"No")</f>
        <v>#REF!</v>
      </c>
      <c r="N15" s="148" t="e">
        <f ca="1">M15/U74</f>
        <v>#REF!</v>
      </c>
      <c r="O15" s="143">
        <f t="shared" si="8"/>
        <v>0</v>
      </c>
      <c r="P15" s="267" t="e">
        <f ca="1">O15/SUM(F74,N41)</f>
        <v>#REF!</v>
      </c>
      <c r="S15" s="41"/>
    </row>
    <row r="16" spans="2:31" ht="14.4">
      <c r="B16" s="3" t="s">
        <v>81</v>
      </c>
      <c r="C16" s="46">
        <f>COUNTIF('six months follow-up_in person'!$Q$28:$Q$188, 1)</f>
        <v>3</v>
      </c>
      <c r="D16" s="33">
        <f ca="1">C16/C6</f>
        <v>1.8633540372670808E-2</v>
      </c>
      <c r="E16" s="46">
        <f>COUNTIF('One year follow-up_inperson'!$O$23:$O$4510, "1")</f>
        <v>0</v>
      </c>
      <c r="F16" s="33" t="e">
        <f ca="1">E16/E6</f>
        <v>#REF!</v>
      </c>
      <c r="G16" s="48">
        <f>COUNTIFS('six months follow-up_in person'!$Q$28:$Q$188, 1,'six months follow-up_in person'!$T$28:$T$188,"No")</f>
        <v>3</v>
      </c>
      <c r="H16" s="150">
        <f>G16/G6</f>
        <v>1.8633540372670808E-2</v>
      </c>
      <c r="I16" s="31" t="e">
        <f>COUNTIFS('One year follow-up_inperson'!#REF!, 1,'One year follow-up_inperson'!#REF!,"Yes")</f>
        <v>#REF!</v>
      </c>
      <c r="J16" s="150" t="e">
        <f>I16/I6</f>
        <v>#REF!</v>
      </c>
      <c r="K16" s="49">
        <f>COUNTIFS('six months follow-up_in person'!$Q$37:$Q$42, 1,'six months follow-up_in person'!$T$37:$T$42,"Yes")</f>
        <v>0</v>
      </c>
      <c r="L16" s="152" t="e">
        <f>K16/K6</f>
        <v>#DIV/0!</v>
      </c>
      <c r="M16" s="147" t="e">
        <f>COUNTIFS('One year follow-up_inperson'!#REF!, 1,'One year follow-up_inperson'!#REF!,"No")</f>
        <v>#REF!</v>
      </c>
      <c r="N16" s="154" t="e">
        <f>M16/M6</f>
        <v>#REF!</v>
      </c>
      <c r="O16" s="143">
        <f>SUM(E16,G16)</f>
        <v>3</v>
      </c>
      <c r="P16" s="268">
        <f>O16/O6</f>
        <v>1.8633540372670808E-2</v>
      </c>
      <c r="S16" s="41"/>
    </row>
    <row r="17" spans="1:26" ht="14.4">
      <c r="B17" s="3" t="s">
        <v>82</v>
      </c>
      <c r="C17" s="46">
        <f>COUNTIF('six months follow-up_in person'!$M$28:$M$188, 1)</f>
        <v>144</v>
      </c>
      <c r="D17" s="33">
        <f ca="1">C17/C6</f>
        <v>0.89440993788819878</v>
      </c>
      <c r="E17" s="46">
        <f>COUNTIF('One year follow-up_inperson'!$K$23:$K$4510, "1")</f>
        <v>0</v>
      </c>
      <c r="F17" s="33" t="e">
        <f ca="1">E17/E6</f>
        <v>#REF!</v>
      </c>
      <c r="G17" s="48">
        <f>COUNTIFS('six months follow-up_in person'!$M$28:$M$188, 1,'six months follow-up_in person'!$T$28:$T$188,"No")</f>
        <v>144</v>
      </c>
      <c r="H17" s="150">
        <f>G17/G6</f>
        <v>0.89440993788819878</v>
      </c>
      <c r="I17" s="31" t="e">
        <f>COUNTIFS('One year follow-up_inperson'!#REF!, 1,'One year follow-up_inperson'!#REF!,"Yes")</f>
        <v>#REF!</v>
      </c>
      <c r="J17" s="150" t="e">
        <f>I17/I6</f>
        <v>#REF!</v>
      </c>
      <c r="K17" s="49">
        <f>COUNTIFS('six months follow-up_in person'!$M$37:$M$42, 1,'six months follow-up_in person'!$T$37:$T$42,"Yes")</f>
        <v>0</v>
      </c>
      <c r="L17" s="152" t="e">
        <f>K17/K6</f>
        <v>#DIV/0!</v>
      </c>
      <c r="M17" s="147" t="e">
        <f>COUNTIFS('One year follow-up_inperson'!#REF!, 1,'One year follow-up_inperson'!#REF!,"No")</f>
        <v>#REF!</v>
      </c>
      <c r="N17" s="154" t="e">
        <f>M17/M6</f>
        <v>#REF!</v>
      </c>
      <c r="O17" s="143">
        <f>SUM(E17,G17)</f>
        <v>144</v>
      </c>
      <c r="P17" s="268">
        <f>O17/O6</f>
        <v>0.89440993788819878</v>
      </c>
      <c r="Q17" s="41"/>
      <c r="R17" s="24"/>
      <c r="S17" s="41"/>
    </row>
    <row r="18" spans="1:26" ht="15" thickBot="1">
      <c r="B18" s="3" t="s">
        <v>463</v>
      </c>
      <c r="C18" s="51">
        <f>COUNTIF('six months follow-up_in person'!$R$28:$R$188, 1)</f>
        <v>148</v>
      </c>
      <c r="D18" s="36">
        <f ca="1">C18/C6</f>
        <v>0.91925465838509313</v>
      </c>
      <c r="E18" s="51">
        <f>COUNTIF('One year follow-up_inperson'!$P$23:$P$4510, "1")</f>
        <v>0</v>
      </c>
      <c r="F18" s="36" t="e">
        <f ca="1">E18/E6</f>
        <v>#REF!</v>
      </c>
      <c r="G18" s="52">
        <f>COUNTIFS('six months follow-up_in person'!$R$28:$R$188, 1,'six months follow-up_in person'!$T$28:$T$188,"No")</f>
        <v>148</v>
      </c>
      <c r="H18" s="151">
        <f>G18/G6</f>
        <v>0.91925465838509313</v>
      </c>
      <c r="I18" s="39" t="e">
        <f>COUNTIFS('One year follow-up_inperson'!#REF!, 1,'One year follow-up_inperson'!#REF!,"Yes")</f>
        <v>#REF!</v>
      </c>
      <c r="J18" s="151" t="e">
        <f>I18/I6</f>
        <v>#REF!</v>
      </c>
      <c r="K18" s="53">
        <f>COUNTIFS('six months follow-up_in person'!$R$37:$R$42, 1,'six months follow-up_in person'!$T$37:$T$42,"Yes")</f>
        <v>0</v>
      </c>
      <c r="L18" s="153" t="e">
        <f>K18/K6</f>
        <v>#DIV/0!</v>
      </c>
      <c r="M18" s="149" t="e">
        <f>COUNTIFS('One year follow-up_inperson'!#REF!, 1,'One year follow-up_inperson'!#REF!,"No")</f>
        <v>#REF!</v>
      </c>
      <c r="N18" s="155" t="e">
        <f>M18/M6</f>
        <v>#REF!</v>
      </c>
      <c r="O18" s="144">
        <f>SUM(E18,G18)</f>
        <v>148</v>
      </c>
      <c r="P18" s="269">
        <f>O18/O6</f>
        <v>0.91925465838509313</v>
      </c>
      <c r="R18" s="24"/>
      <c r="S18" s="41"/>
    </row>
    <row r="19" spans="1:26" ht="14.4">
      <c r="J19" s="6"/>
      <c r="K19" s="6"/>
      <c r="L19" s="6"/>
      <c r="R19" s="6"/>
      <c r="S19" s="6"/>
    </row>
    <row r="20" spans="1:26" ht="14.4">
      <c r="A20" s="62"/>
      <c r="B20" s="62"/>
      <c r="J20" s="6"/>
      <c r="K20" s="6"/>
      <c r="L20" s="6"/>
      <c r="P20" s="156"/>
      <c r="Q20" s="157"/>
    </row>
    <row r="21" spans="1:26" ht="14.4">
      <c r="A21" s="62"/>
      <c r="B21" s="186"/>
      <c r="H21" s="78"/>
      <c r="J21" s="79"/>
      <c r="K21" s="6"/>
      <c r="L21" s="6"/>
      <c r="P21" s="158"/>
      <c r="Q21" s="157"/>
    </row>
    <row r="22" spans="1:26" ht="14.4">
      <c r="A22" s="62"/>
      <c r="B22" s="186"/>
      <c r="H22" s="78"/>
      <c r="J22" s="79"/>
      <c r="K22" s="49"/>
      <c r="L22" s="6"/>
      <c r="P22" s="156"/>
      <c r="Q22" s="157"/>
    </row>
    <row r="23" spans="1:26" ht="14.4">
      <c r="A23" s="62"/>
      <c r="B23" s="186"/>
      <c r="H23" s="78"/>
      <c r="J23" s="79"/>
      <c r="K23" s="6"/>
      <c r="L23" s="6"/>
      <c r="P23" s="159"/>
      <c r="Q23" s="157"/>
    </row>
    <row r="24" spans="1:26" ht="14.4">
      <c r="A24" s="62"/>
      <c r="B24" s="62"/>
      <c r="D24" s="78"/>
      <c r="F24" s="78"/>
      <c r="J24" s="6"/>
      <c r="K24" s="6"/>
      <c r="L24" s="6"/>
    </row>
    <row r="25" spans="1:26" ht="14.4">
      <c r="B25" s="62"/>
      <c r="D25" s="78"/>
      <c r="F25" s="78"/>
      <c r="J25" s="6"/>
      <c r="K25" s="6"/>
      <c r="L25" s="6"/>
    </row>
    <row r="26" spans="1:26" ht="14.4">
      <c r="A26" s="6"/>
      <c r="B26" s="6"/>
      <c r="C26" s="49"/>
      <c r="D26" s="49"/>
      <c r="E26" s="49"/>
      <c r="F26" s="49"/>
      <c r="G26" s="49"/>
      <c r="H26" s="6"/>
      <c r="I26" s="6"/>
      <c r="J26" s="6"/>
      <c r="K26" s="6"/>
      <c r="L26" s="6"/>
      <c r="M26" s="6"/>
      <c r="N26" s="6"/>
      <c r="O26" s="6"/>
      <c r="V26" s="6"/>
      <c r="W26" s="6"/>
      <c r="X26" s="6"/>
      <c r="Y26" s="6"/>
      <c r="Z26" s="6"/>
    </row>
    <row r="27" spans="1:26" ht="14.4">
      <c r="A27" s="6"/>
      <c r="B27" s="6"/>
      <c r="C27" s="49"/>
      <c r="D27" s="49"/>
      <c r="E27" s="49"/>
      <c r="F27" s="49"/>
      <c r="G27" s="49"/>
      <c r="H27" s="6"/>
      <c r="I27" s="6"/>
      <c r="J27" s="6"/>
      <c r="K27" s="6"/>
      <c r="L27" s="6"/>
      <c r="M27" s="6"/>
      <c r="N27" s="6"/>
      <c r="O27" s="6"/>
      <c r="P27" s="6"/>
      <c r="Q27" s="6"/>
      <c r="R27" s="6"/>
      <c r="S27" s="6"/>
      <c r="T27" s="6"/>
      <c r="U27" s="6"/>
      <c r="V27" s="6"/>
      <c r="W27" s="6"/>
      <c r="X27" s="6"/>
      <c r="Y27" s="6"/>
      <c r="Z27" s="6"/>
    </row>
    <row r="28" spans="1:26" ht="15" thickBot="1">
      <c r="A28" s="6"/>
      <c r="B28" s="2" t="s">
        <v>50</v>
      </c>
      <c r="C28" s="49"/>
      <c r="D28" s="49"/>
      <c r="E28" s="49"/>
      <c r="F28" s="49"/>
      <c r="G28" s="49"/>
      <c r="H28" s="6"/>
      <c r="I28" s="6"/>
      <c r="J28" s="6"/>
      <c r="K28" s="41"/>
      <c r="L28" s="6"/>
      <c r="M28" s="6"/>
      <c r="N28" s="6"/>
      <c r="O28" s="6"/>
      <c r="P28" s="6"/>
      <c r="Q28" s="6"/>
      <c r="R28" s="6"/>
      <c r="S28" s="6"/>
      <c r="T28" s="6"/>
      <c r="U28" s="6"/>
      <c r="V28" s="6"/>
      <c r="W28" s="6"/>
      <c r="X28" s="6"/>
      <c r="Y28" s="6"/>
      <c r="Z28" s="6"/>
    </row>
    <row r="29" spans="1:26" ht="14.4">
      <c r="A29" s="165" t="s">
        <v>51</v>
      </c>
      <c r="B29" s="166" t="s">
        <v>52</v>
      </c>
      <c r="C29" s="230"/>
      <c r="D29" s="230"/>
      <c r="E29" s="230"/>
      <c r="F29" s="230"/>
      <c r="G29" s="230"/>
      <c r="H29" s="169"/>
      <c r="I29" s="169"/>
      <c r="J29" s="166" t="s">
        <v>53</v>
      </c>
      <c r="K29" s="231"/>
      <c r="L29" s="169"/>
      <c r="M29" s="169"/>
      <c r="N29" s="169"/>
      <c r="O29" s="302"/>
      <c r="P29" s="6"/>
      <c r="Q29" s="238" t="s">
        <v>54</v>
      </c>
      <c r="R29" s="228"/>
      <c r="S29" s="228"/>
      <c r="T29" s="228"/>
      <c r="U29" s="228"/>
      <c r="V29" s="229"/>
      <c r="W29" s="6"/>
      <c r="X29" s="6"/>
      <c r="Y29" s="6"/>
      <c r="Z29" s="6"/>
    </row>
    <row r="30" spans="1:26" ht="14.4">
      <c r="A30" s="170"/>
      <c r="B30" s="133"/>
      <c r="C30" s="163" t="s">
        <v>55</v>
      </c>
      <c r="D30" s="163" t="s">
        <v>56</v>
      </c>
      <c r="E30" s="163" t="s">
        <v>57</v>
      </c>
      <c r="F30" s="163" t="s">
        <v>58</v>
      </c>
      <c r="G30" s="162" t="s">
        <v>100</v>
      </c>
      <c r="H30" s="175" t="s">
        <v>99</v>
      </c>
      <c r="I30" s="133"/>
      <c r="J30" s="171" t="s">
        <v>59</v>
      </c>
      <c r="K30" s="163" t="s">
        <v>55</v>
      </c>
      <c r="L30" s="163" t="s">
        <v>56</v>
      </c>
      <c r="M30" s="163" t="s">
        <v>57</v>
      </c>
      <c r="N30" s="163" t="s">
        <v>58</v>
      </c>
      <c r="O30" s="164" t="s">
        <v>100</v>
      </c>
      <c r="Q30" s="239"/>
      <c r="R30" s="163" t="s">
        <v>55</v>
      </c>
      <c r="S30" s="163" t="s">
        <v>56</v>
      </c>
      <c r="T30" s="163" t="s">
        <v>57</v>
      </c>
      <c r="U30" s="163" t="s">
        <v>58</v>
      </c>
      <c r="V30" s="164" t="s">
        <v>100</v>
      </c>
    </row>
    <row r="31" spans="1:26" ht="14.4">
      <c r="A31" s="170"/>
      <c r="B31" s="133" t="e">
        <f>'six months follow-up_in person'!#REF!</f>
        <v>#REF!</v>
      </c>
      <c r="C31" s="232" t="str">
        <f ca="1">IFERROR(__xludf.DUMMYFUNCTION("""COMPUTED_VALUE"""),"366")</f>
        <v>366</v>
      </c>
      <c r="D31" s="232">
        <f ca="1">COUNTIF('six months follow-up_in person'!$C$19:$C$188,C31)</f>
        <v>0</v>
      </c>
      <c r="E31" s="183" t="s">
        <v>3</v>
      </c>
      <c r="F31" s="183" t="s">
        <v>3</v>
      </c>
      <c r="G31" s="183" t="s">
        <v>3</v>
      </c>
      <c r="H31" s="137" t="e">
        <f ca="1">'six months follow-up_in person'!#REF!=' Analysis_Stats_in person'!D31</f>
        <v>#REF!</v>
      </c>
      <c r="I31" s="133"/>
      <c r="J31" s="133" t="e">
        <f>B31</f>
        <v>#REF!</v>
      </c>
      <c r="K31" s="232" t="str">
        <f ca="1">IFERROR(__xludf.DUMMYFUNCTION("""COMPUTED_VALUE"""),"244")</f>
        <v>244</v>
      </c>
      <c r="L31" s="232">
        <f ca="1">COUNTIF('six months follow-up_in person'!$C$28:$C$188,K31)</f>
        <v>15</v>
      </c>
      <c r="M31" s="183" t="s">
        <v>3</v>
      </c>
      <c r="N31" s="183" t="s">
        <v>5</v>
      </c>
      <c r="O31" s="183" t="s">
        <v>3</v>
      </c>
      <c r="Q31" s="133" t="s">
        <v>466</v>
      </c>
      <c r="R31" s="232" t="s">
        <v>467</v>
      </c>
      <c r="S31" s="232">
        <v>366</v>
      </c>
      <c r="T31" s="183" t="str">
        <f>E31</f>
        <v>Yes</v>
      </c>
      <c r="U31" s="183" t="s">
        <v>3</v>
      </c>
      <c r="V31" s="183" t="s">
        <v>3</v>
      </c>
    </row>
    <row r="32" spans="1:26" ht="14.4">
      <c r="A32" s="170"/>
      <c r="B32" s="133" t="str">
        <f>'six months follow-up_in person'!F2</f>
        <v>Haguruka Rutunga</v>
      </c>
      <c r="C32" s="232" t="str">
        <f ca="1">IFERROR(__xludf.DUMMYFUNCTION("""COMPUTED_VALUE"""),"244")</f>
        <v>244</v>
      </c>
      <c r="D32" s="232">
        <f ca="1">COUNTIF('six months follow-up_in person'!$C$19:$C$188,C32)</f>
        <v>15</v>
      </c>
      <c r="E32" s="183" t="s">
        <v>3</v>
      </c>
      <c r="F32" s="183" t="s">
        <v>5</v>
      </c>
      <c r="G32" s="183" t="s">
        <v>5</v>
      </c>
      <c r="H32" s="137" t="b">
        <f ca="1">'six months follow-up_in person'!J2=' Analysis_Stats_in person'!D32</f>
        <v>1</v>
      </c>
      <c r="I32" s="133"/>
      <c r="J32" s="133" t="str">
        <f t="shared" ref="J32:J39" si="9">B32</f>
        <v>Haguruka Rutunga</v>
      </c>
      <c r="K32" s="232" t="str">
        <f ca="1">IFERROR(__xludf.DUMMYFUNCTION("""COMPUTED_VALUE"""),"249")</f>
        <v>249</v>
      </c>
      <c r="L32" s="232">
        <f ca="1">COUNTIF('six months follow-up_in person'!$C$28:$C$188,K32)</f>
        <v>22</v>
      </c>
      <c r="M32" s="183" t="s">
        <v>3</v>
      </c>
      <c r="N32" s="183" t="s">
        <v>5</v>
      </c>
      <c r="O32" s="183" t="s">
        <v>5</v>
      </c>
      <c r="Q32" s="133" t="s">
        <v>131</v>
      </c>
      <c r="R32" s="232" t="s">
        <v>468</v>
      </c>
      <c r="S32" s="232">
        <v>15</v>
      </c>
      <c r="T32" s="183" t="str">
        <f t="shared" ref="T32:T39" si="10">E32</f>
        <v>Yes</v>
      </c>
      <c r="U32" s="183" t="s">
        <v>5</v>
      </c>
      <c r="V32" s="183" t="s">
        <v>5</v>
      </c>
    </row>
    <row r="33" spans="1:22" ht="14.4">
      <c r="A33" s="170"/>
      <c r="B33" s="133" t="str">
        <f>'six months follow-up_in person'!F3</f>
        <v>NWC Remera</v>
      </c>
      <c r="C33" s="232" t="str">
        <f ca="1">IFERROR(__xludf.DUMMYFUNCTION("""COMPUTED_VALUE"""),"249")</f>
        <v>249</v>
      </c>
      <c r="D33" s="232">
        <f ca="1">COUNTIF('six months follow-up_in person'!$C$42:$C$188,C33)</f>
        <v>22</v>
      </c>
      <c r="E33" s="183" t="s">
        <v>3</v>
      </c>
      <c r="F33" s="183" t="s">
        <v>5</v>
      </c>
      <c r="G33" s="183" t="s">
        <v>5</v>
      </c>
      <c r="H33" s="137" t="b">
        <f ca="1">'six months follow-up_in person'!J3=' Analysis_Stats_in person'!D33</f>
        <v>1</v>
      </c>
      <c r="I33" s="133"/>
      <c r="J33" s="133" t="str">
        <f t="shared" si="9"/>
        <v>NWC Remera</v>
      </c>
      <c r="K33" s="232" t="str">
        <f ca="1">IFERROR(__xludf.DUMMYFUNCTION("""COMPUTED_VALUE"""),"250")</f>
        <v>250</v>
      </c>
      <c r="L33" s="232">
        <f ca="1">COUNTIF('six months follow-up_in person'!$C$28:$C$188,K33)</f>
        <v>20</v>
      </c>
      <c r="M33" s="183" t="s">
        <v>3</v>
      </c>
      <c r="N33" s="183" t="s">
        <v>5</v>
      </c>
      <c r="O33" s="183" t="s">
        <v>5</v>
      </c>
      <c r="Q33" s="133" t="s">
        <v>138</v>
      </c>
      <c r="R33" s="232" t="s">
        <v>469</v>
      </c>
      <c r="S33" s="232">
        <v>22</v>
      </c>
      <c r="T33" s="183" t="str">
        <f t="shared" si="10"/>
        <v>Yes</v>
      </c>
      <c r="U33" s="183" t="s">
        <v>5</v>
      </c>
      <c r="V33" s="183" t="s">
        <v>5</v>
      </c>
    </row>
    <row r="34" spans="1:22" ht="14.4">
      <c r="A34" s="170"/>
      <c r="B34" s="133" t="str">
        <f>'six months follow-up_in person'!F4</f>
        <v>NWC Kimironko</v>
      </c>
      <c r="C34" s="232" t="str">
        <f ca="1">IFERROR(__xludf.DUMMYFUNCTION("""COMPUTED_VALUE"""),"250")</f>
        <v>250</v>
      </c>
      <c r="D34" s="232">
        <f ca="1">COUNTIF('six months follow-up_in person'!$C$42:$C$188,C34)</f>
        <v>20</v>
      </c>
      <c r="E34" s="183" t="s">
        <v>3</v>
      </c>
      <c r="F34" s="183" t="s">
        <v>5</v>
      </c>
      <c r="G34" s="183" t="s">
        <v>5</v>
      </c>
      <c r="H34" s="137" t="b">
        <f ca="1">'six months follow-up_in person'!J4=' Analysis_Stats_in person'!D34</f>
        <v>1</v>
      </c>
      <c r="I34" s="133"/>
      <c r="J34" s="133" t="str">
        <f t="shared" si="9"/>
        <v>NWC Kimironko</v>
      </c>
      <c r="K34" s="232" t="str">
        <f ca="1">IFERROR(__xludf.DUMMYFUNCTION("""COMPUTED_VALUE"""),"251")</f>
        <v>251</v>
      </c>
      <c r="L34" s="232">
        <f ca="1">COUNTIF('six months follow-up_in person'!$C$28:$C$188,K34)</f>
        <v>22</v>
      </c>
      <c r="M34" s="183" t="s">
        <v>3</v>
      </c>
      <c r="N34" s="183" t="s">
        <v>5</v>
      </c>
      <c r="O34" s="183" t="s">
        <v>5</v>
      </c>
      <c r="Q34" s="133" t="s">
        <v>169</v>
      </c>
      <c r="R34" s="232" t="s">
        <v>470</v>
      </c>
      <c r="S34" s="232">
        <v>20</v>
      </c>
      <c r="T34" s="183" t="str">
        <f t="shared" si="10"/>
        <v>Yes</v>
      </c>
      <c r="U34" s="183" t="s">
        <v>5</v>
      </c>
      <c r="V34" s="183" t="s">
        <v>5</v>
      </c>
    </row>
    <row r="35" spans="1:22" ht="14.4">
      <c r="A35" s="170"/>
      <c r="B35" s="133" t="str">
        <f>'six months follow-up_in person'!F5</f>
        <v>NWC Gisozi</v>
      </c>
      <c r="C35" s="232" t="str">
        <f ca="1">IFERROR(__xludf.DUMMYFUNCTION("""COMPUTED_VALUE"""),"251")</f>
        <v>251</v>
      </c>
      <c r="D35" s="232">
        <f ca="1">COUNTIF('six months follow-up_in person'!$C$28:$C$3760,C35)</f>
        <v>22</v>
      </c>
      <c r="E35" s="183" t="s">
        <v>3</v>
      </c>
      <c r="F35" s="183" t="s">
        <v>5</v>
      </c>
      <c r="G35" s="183" t="s">
        <v>3</v>
      </c>
      <c r="H35" s="137" t="b">
        <f ca="1">'six months follow-up_in person'!J5=' Analysis_Stats_in person'!D35</f>
        <v>1</v>
      </c>
      <c r="I35" s="133"/>
      <c r="J35" s="133" t="str">
        <f t="shared" si="9"/>
        <v>NWC Gisozi</v>
      </c>
      <c r="K35" s="232" t="str">
        <f ca="1">IFERROR(__xludf.DUMMYFUNCTION("""COMPUTED_VALUE"""),"254")</f>
        <v>254</v>
      </c>
      <c r="L35" s="232">
        <f ca="1">COUNTIF('six months follow-up_in person'!$C$28:$C$188,K35)</f>
        <v>18</v>
      </c>
      <c r="M35" s="183" t="s">
        <v>3</v>
      </c>
      <c r="N35" s="183" t="s">
        <v>5</v>
      </c>
      <c r="O35" s="183" t="s">
        <v>3</v>
      </c>
      <c r="Q35" s="133" t="s">
        <v>170</v>
      </c>
      <c r="R35" s="232" t="s">
        <v>471</v>
      </c>
      <c r="S35" s="232">
        <v>22</v>
      </c>
      <c r="T35" s="183" t="str">
        <f t="shared" si="10"/>
        <v>Yes</v>
      </c>
      <c r="U35" s="183" t="s">
        <v>5</v>
      </c>
      <c r="V35" s="183" t="s">
        <v>3</v>
      </c>
    </row>
    <row r="36" spans="1:22" ht="14.4">
      <c r="A36" s="170"/>
      <c r="B36" s="133" t="str">
        <f>'six months follow-up_in person'!F6</f>
        <v>SOS Children Group 1</v>
      </c>
      <c r="C36" s="232" t="str">
        <f ca="1">IFERROR(__xludf.DUMMYFUNCTION("""COMPUTED_VALUE"""),"254")</f>
        <v>254</v>
      </c>
      <c r="D36" s="232">
        <f ca="1">COUNTIF('six months follow-up_in person'!$C$42:$C$188,C36)</f>
        <v>18</v>
      </c>
      <c r="E36" s="183" t="s">
        <v>3</v>
      </c>
      <c r="F36" s="183" t="s">
        <v>5</v>
      </c>
      <c r="G36" s="183" t="s">
        <v>5</v>
      </c>
      <c r="H36" s="137" t="b">
        <f ca="1">'six months follow-up_in person'!J6=' Analysis_Stats_in person'!D36</f>
        <v>1</v>
      </c>
      <c r="I36" s="133"/>
      <c r="J36" s="133" t="str">
        <f t="shared" si="9"/>
        <v>SOS Children Group 1</v>
      </c>
      <c r="K36" s="232" t="str">
        <f ca="1">IFERROR(__xludf.DUMMYFUNCTION("""COMPUTED_VALUE"""),"255")</f>
        <v>255</v>
      </c>
      <c r="L36" s="232">
        <f ca="1">COUNTIF('six months follow-up_in person'!$C$28:$C$188,K36)</f>
        <v>42</v>
      </c>
      <c r="M36" s="183" t="s">
        <v>3</v>
      </c>
      <c r="N36" s="183" t="s">
        <v>5</v>
      </c>
      <c r="O36" s="183" t="s">
        <v>5</v>
      </c>
      <c r="Q36" s="133" t="s">
        <v>328</v>
      </c>
      <c r="R36" s="232" t="s">
        <v>472</v>
      </c>
      <c r="S36" s="232">
        <v>18</v>
      </c>
      <c r="T36" s="183" t="str">
        <f t="shared" si="10"/>
        <v>Yes</v>
      </c>
      <c r="U36" s="183" t="s">
        <v>5</v>
      </c>
      <c r="V36" s="183" t="s">
        <v>5</v>
      </c>
    </row>
    <row r="37" spans="1:22" ht="14.4">
      <c r="A37" s="170"/>
      <c r="B37" s="133" t="str">
        <f>'six months follow-up_in person'!F7</f>
        <v>Kirehe students</v>
      </c>
      <c r="C37" s="232" t="str">
        <f ca="1">IFERROR(__xludf.DUMMYFUNCTION("""COMPUTED_VALUE"""),"255")</f>
        <v>255</v>
      </c>
      <c r="D37" s="232">
        <f ca="1">COUNTIF('six months follow-up_in person'!$C$28:$C$188,C37)</f>
        <v>42</v>
      </c>
      <c r="E37" s="183" t="s">
        <v>3</v>
      </c>
      <c r="F37" s="183" t="s">
        <v>5</v>
      </c>
      <c r="G37" s="183" t="s">
        <v>3</v>
      </c>
      <c r="H37" s="137" t="b">
        <f ca="1">'six months follow-up_in person'!J7=' Analysis_Stats_in person'!D37</f>
        <v>1</v>
      </c>
      <c r="I37" s="133"/>
      <c r="J37" s="133" t="str">
        <f t="shared" si="9"/>
        <v>Kirehe students</v>
      </c>
      <c r="K37" s="232" t="str">
        <f ca="1">IFERROR(__xludf.DUMMYFUNCTION("""COMPUTED_VALUE"""),"264")</f>
        <v>264</v>
      </c>
      <c r="L37" s="232">
        <f ca="1">COUNTIF('six months follow-up_in person'!$C$28:$C$188,K37)</f>
        <v>4</v>
      </c>
      <c r="M37" s="183" t="s">
        <v>3</v>
      </c>
      <c r="N37" s="183" t="s">
        <v>5</v>
      </c>
      <c r="O37" s="183" t="s">
        <v>3</v>
      </c>
      <c r="Q37" s="133" t="s">
        <v>298</v>
      </c>
      <c r="R37" s="232" t="s">
        <v>473</v>
      </c>
      <c r="S37" s="232">
        <v>42</v>
      </c>
      <c r="T37" s="183" t="str">
        <f t="shared" si="10"/>
        <v>Yes</v>
      </c>
      <c r="U37" s="183" t="s">
        <v>5</v>
      </c>
      <c r="V37" s="183" t="s">
        <v>3</v>
      </c>
    </row>
    <row r="38" spans="1:22" ht="14.4">
      <c r="A38" s="170"/>
      <c r="B38" s="133" t="str">
        <f>'six months follow-up_in person'!F8</f>
        <v>SOS Children Group 2</v>
      </c>
      <c r="C38" s="232" t="str">
        <f ca="1">IFERROR(__xludf.DUMMYFUNCTION("""COMPUTED_VALUE"""),"264")</f>
        <v>264</v>
      </c>
      <c r="D38" s="232">
        <f ca="1">COUNTIF('six months follow-up_in person'!$C$28:$C$188,C38)</f>
        <v>4</v>
      </c>
      <c r="E38" s="183" t="s">
        <v>3</v>
      </c>
      <c r="F38" s="183" t="s">
        <v>5</v>
      </c>
      <c r="G38" s="183" t="s">
        <v>31</v>
      </c>
      <c r="H38" s="137" t="b">
        <f ca="1">'six months follow-up_in person'!J8=' Analysis_Stats_in person'!D38</f>
        <v>1</v>
      </c>
      <c r="I38" s="133"/>
      <c r="J38" s="133" t="str">
        <f t="shared" si="9"/>
        <v>SOS Children Group 2</v>
      </c>
      <c r="K38" s="232" t="str">
        <f ca="1">IFERROR(__xludf.DUMMYFUNCTION("""COMPUTED_VALUE"""),"265")</f>
        <v>265</v>
      </c>
      <c r="L38" s="232">
        <f ca="1">COUNTIF('six months follow-up_in person'!$C$28:$C$188,K38)</f>
        <v>18</v>
      </c>
      <c r="M38" s="183" t="s">
        <v>3</v>
      </c>
      <c r="N38" s="183" t="s">
        <v>5</v>
      </c>
      <c r="O38" s="183" t="s">
        <v>31</v>
      </c>
      <c r="Q38" s="133" t="s">
        <v>359</v>
      </c>
      <c r="R38" s="232" t="s">
        <v>474</v>
      </c>
      <c r="S38" s="232">
        <v>4</v>
      </c>
      <c r="T38" s="183" t="str">
        <f t="shared" si="10"/>
        <v>Yes</v>
      </c>
      <c r="U38" s="183" t="s">
        <v>5</v>
      </c>
      <c r="V38" s="183" t="s">
        <v>31</v>
      </c>
    </row>
    <row r="39" spans="1:22" ht="14.4">
      <c r="A39" s="170"/>
      <c r="B39" s="133" t="str">
        <f>'six months follow-up_in person'!F9</f>
        <v>SOS Children Group 3</v>
      </c>
      <c r="C39" s="232" t="str">
        <f ca="1">IFERROR(__xludf.DUMMYFUNCTION("""COMPUTED_VALUE"""),"265")</f>
        <v>265</v>
      </c>
      <c r="D39" s="232">
        <f ca="1">COUNTIF('six months follow-up_in person'!$C$28:$C$188,C39)</f>
        <v>18</v>
      </c>
      <c r="E39" s="183" t="s">
        <v>3</v>
      </c>
      <c r="F39" s="183" t="s">
        <v>5</v>
      </c>
      <c r="G39" s="183" t="s">
        <v>5</v>
      </c>
      <c r="H39" s="137" t="b">
        <f ca="1">'six months follow-up_in person'!J9=' Analysis_Stats_in person'!D39</f>
        <v>1</v>
      </c>
      <c r="I39" s="133"/>
      <c r="J39" s="133" t="str">
        <f t="shared" si="9"/>
        <v>SOS Children Group 3</v>
      </c>
      <c r="K39" s="232" t="str">
        <f ca="1">IFERROR(__xludf.DUMMYFUNCTION("""COMPUTED_VALUE"""),"279")</f>
        <v>279</v>
      </c>
      <c r="L39" s="232">
        <f ca="1">COUNTIF('six months follow-up_in person'!$C$28:$C$188,K39)</f>
        <v>0</v>
      </c>
      <c r="M39" s="183" t="s">
        <v>3</v>
      </c>
      <c r="N39" s="183" t="s">
        <v>5</v>
      </c>
      <c r="O39" s="183" t="s">
        <v>5</v>
      </c>
      <c r="Q39" s="133" t="s">
        <v>360</v>
      </c>
      <c r="R39" s="232" t="s">
        <v>475</v>
      </c>
      <c r="S39" s="232">
        <v>18</v>
      </c>
      <c r="T39" s="183" t="str">
        <f t="shared" si="10"/>
        <v>Yes</v>
      </c>
      <c r="U39" s="183" t="s">
        <v>5</v>
      </c>
      <c r="V39" s="183" t="s">
        <v>5</v>
      </c>
    </row>
    <row r="40" spans="1:22" ht="15" thickBot="1">
      <c r="A40" s="170"/>
      <c r="B40" s="133"/>
      <c r="C40" s="232"/>
      <c r="D40" s="232"/>
      <c r="E40" s="181"/>
      <c r="F40" s="181"/>
      <c r="G40" s="180"/>
      <c r="H40" s="137"/>
      <c r="I40" s="133"/>
      <c r="J40" s="133"/>
      <c r="K40" s="232"/>
      <c r="L40" s="233"/>
      <c r="M40" s="181"/>
      <c r="N40" s="181"/>
      <c r="O40" s="182"/>
      <c r="Q40" s="240"/>
      <c r="R40" s="61"/>
      <c r="S40" s="232"/>
      <c r="T40" s="181"/>
      <c r="U40" s="181"/>
      <c r="V40" s="182"/>
    </row>
    <row r="41" spans="1:22" ht="15" thickBot="1">
      <c r="A41" s="234"/>
      <c r="B41" s="189" t="s">
        <v>60</v>
      </c>
      <c r="C41" s="235"/>
      <c r="D41" s="235">
        <f ca="1">SUM(D31:D40)</f>
        <v>161</v>
      </c>
      <c r="E41" s="235">
        <f ca="1">SUMIF(E31:E40, "Yes", $D$31:$D$40)</f>
        <v>161</v>
      </c>
      <c r="F41" s="235">
        <f ca="1">SUMIF(F31:F40, "Yes", $D$31:$D$40)</f>
        <v>0</v>
      </c>
      <c r="G41" s="235">
        <f ca="1">SUMIF(G31:G40, "Yes", $D$31:$D$40)</f>
        <v>68</v>
      </c>
      <c r="H41" s="236"/>
      <c r="I41" s="236"/>
      <c r="J41" s="189" t="s">
        <v>60</v>
      </c>
      <c r="K41" s="235"/>
      <c r="L41" s="235">
        <f ca="1">SUM(L31:L40)</f>
        <v>161</v>
      </c>
      <c r="M41" s="235">
        <f ca="1">SUMIF(M31:M40, "Yes", $L$31:$L$40)</f>
        <v>161</v>
      </c>
      <c r="N41" s="235">
        <f>SUMIF(N31:N40, "Yes", $L$31:$L$40)</f>
        <v>0</v>
      </c>
      <c r="O41" s="237">
        <f ca="1">SUMIF(O31:O40, "Yes", $L$31:$L$40)</f>
        <v>55</v>
      </c>
      <c r="Q41" s="241" t="s">
        <v>60</v>
      </c>
      <c r="R41" s="235"/>
      <c r="S41" s="235">
        <f>SUM(S31:S40)</f>
        <v>527</v>
      </c>
      <c r="T41" s="235">
        <f ca="1">SUMIF(T31:T40, "Yes", $L$31:$L$40)</f>
        <v>161</v>
      </c>
      <c r="U41" s="235">
        <f ca="1">SUMIF(U31:U40, "Yes", $L$31:$L$40)</f>
        <v>15</v>
      </c>
      <c r="V41" s="237">
        <f ca="1">SUMIF(V31:V40, "Yes", $L$31:$L$40)</f>
        <v>55</v>
      </c>
    </row>
    <row r="42" spans="1:22" ht="14.4">
      <c r="A42" s="165" t="s">
        <v>61</v>
      </c>
      <c r="B42" s="166"/>
      <c r="C42" s="167"/>
      <c r="D42" s="168" t="b">
        <f ca="1">D41='six months follow-up_in person'!H24</f>
        <v>1</v>
      </c>
      <c r="E42" s="167"/>
      <c r="F42" s="167"/>
      <c r="G42" s="166"/>
      <c r="H42" s="167"/>
      <c r="I42" s="167"/>
      <c r="J42" s="166"/>
      <c r="K42" s="169"/>
      <c r="L42" s="169"/>
      <c r="M42" s="169"/>
      <c r="N42" s="169"/>
      <c r="O42" s="169"/>
      <c r="P42" s="169"/>
      <c r="Q42" s="169"/>
      <c r="R42" s="169"/>
      <c r="S42" s="169"/>
      <c r="T42" s="169"/>
      <c r="U42" s="169"/>
      <c r="V42" s="146"/>
    </row>
    <row r="43" spans="1:22" ht="14.4">
      <c r="A43" s="170"/>
      <c r="B43" s="171"/>
      <c r="C43" s="172"/>
      <c r="D43" s="133"/>
      <c r="E43" s="172"/>
      <c r="F43" s="172"/>
      <c r="G43" s="171"/>
      <c r="H43" s="172"/>
      <c r="I43" s="172"/>
      <c r="J43" s="171"/>
      <c r="K43" s="133"/>
      <c r="L43" s="133"/>
      <c r="M43" s="133"/>
      <c r="N43" s="133"/>
      <c r="O43" s="133"/>
      <c r="P43" s="133"/>
      <c r="Q43" s="133"/>
      <c r="R43" s="133"/>
      <c r="S43" s="133"/>
      <c r="T43" s="133"/>
      <c r="U43" s="133"/>
      <c r="V43" s="173"/>
    </row>
    <row r="44" spans="1:22" ht="14.4">
      <c r="A44" s="170"/>
      <c r="B44" s="171"/>
      <c r="C44" s="172"/>
      <c r="D44" s="133"/>
      <c r="E44" s="172"/>
      <c r="F44" s="172"/>
      <c r="G44" s="171"/>
      <c r="H44" s="172"/>
      <c r="I44" s="172"/>
      <c r="J44" s="171"/>
      <c r="K44" s="133"/>
      <c r="L44" s="133"/>
      <c r="M44" s="133"/>
      <c r="N44" s="133"/>
      <c r="O44" s="133"/>
      <c r="P44" s="133"/>
      <c r="Q44" s="133"/>
      <c r="R44" s="133"/>
      <c r="S44" s="133"/>
      <c r="T44" s="133"/>
      <c r="U44" s="133"/>
      <c r="V44" s="173"/>
    </row>
    <row r="45" spans="1:22" ht="14.4">
      <c r="A45" s="170"/>
      <c r="B45" s="171" t="s">
        <v>62</v>
      </c>
      <c r="C45" s="143"/>
      <c r="D45" s="143"/>
      <c r="E45" s="143"/>
      <c r="F45" s="143"/>
      <c r="G45" s="143"/>
      <c r="H45" s="133"/>
      <c r="I45" s="133"/>
      <c r="J45" s="171" t="s">
        <v>63</v>
      </c>
      <c r="K45" s="133"/>
      <c r="L45" s="133"/>
      <c r="M45" s="133"/>
      <c r="N45" s="133"/>
      <c r="O45" s="133"/>
      <c r="P45" s="133"/>
      <c r="Q45" s="171" t="s">
        <v>64</v>
      </c>
      <c r="R45" s="133"/>
      <c r="S45" s="133"/>
      <c r="T45" s="133"/>
      <c r="U45" s="133"/>
      <c r="V45" s="173"/>
    </row>
    <row r="46" spans="1:22" ht="14.4">
      <c r="A46" s="170"/>
      <c r="B46" s="133"/>
      <c r="C46" s="174" t="s">
        <v>55</v>
      </c>
      <c r="D46" s="174" t="s">
        <v>56</v>
      </c>
      <c r="E46" s="163" t="s">
        <v>57</v>
      </c>
      <c r="F46" s="163" t="s">
        <v>58</v>
      </c>
      <c r="G46" s="162" t="s">
        <v>100</v>
      </c>
      <c r="H46" s="175" t="s">
        <v>99</v>
      </c>
      <c r="I46" s="133"/>
      <c r="J46" s="171" t="s">
        <v>65</v>
      </c>
      <c r="K46" s="163" t="s">
        <v>55</v>
      </c>
      <c r="L46" s="163" t="s">
        <v>56</v>
      </c>
      <c r="M46" s="163" t="s">
        <v>57</v>
      </c>
      <c r="N46" s="163" t="s">
        <v>58</v>
      </c>
      <c r="O46" s="162" t="s">
        <v>100</v>
      </c>
      <c r="P46" s="133"/>
      <c r="Q46" s="171"/>
      <c r="R46" s="163" t="s">
        <v>55</v>
      </c>
      <c r="S46" s="163" t="s">
        <v>56</v>
      </c>
      <c r="T46" s="163" t="s">
        <v>57</v>
      </c>
      <c r="U46" s="163" t="s">
        <v>58</v>
      </c>
      <c r="V46" s="164" t="s">
        <v>100</v>
      </c>
    </row>
    <row r="47" spans="1:22" ht="14.4">
      <c r="A47" s="170"/>
      <c r="B47" s="133">
        <f>'One year follow-up_inperson'!C2</f>
        <v>0</v>
      </c>
      <c r="C47" s="61" t="str">
        <f ca="1">IFERROR(__xludf.DUMMYFUNCTION("ARRAY_CONSTRAIN(ARRAYFORMULA(UNIQUE('One year follow-up'!$C10:$C208)), 19, 1)"),"160")</f>
        <v>160</v>
      </c>
      <c r="D47" s="176" t="e">
        <f ca="1">COUNTIF('One year follow-up_inperson'!#REF!,C47)</f>
        <v>#REF!</v>
      </c>
      <c r="E47" s="177" t="s">
        <v>3</v>
      </c>
      <c r="F47" s="177" t="s">
        <v>31</v>
      </c>
      <c r="G47" s="160" t="s">
        <v>3</v>
      </c>
      <c r="H47" s="178" t="e">
        <f ca="1">D47='One year follow-up_inperson'!G2</f>
        <v>#REF!</v>
      </c>
      <c r="I47" s="133"/>
      <c r="J47" s="133">
        <f>'One year follow-up_inperson'!C2</f>
        <v>0</v>
      </c>
      <c r="K47" s="61" t="str">
        <f ca="1">IFERROR(__xludf.DUMMYFUNCTION("ARRAY_CONSTRAIN(ARRAYFORMULA(UNIQUE('One year follow-up'!$C10:$C1000)), 19, 1)"),"160")</f>
        <v>160</v>
      </c>
      <c r="L47" s="179">
        <f ca="1">COUNTIFS('One year follow-up_inperson'!$B$23:$B$2653,K47,'One year follow-up_inperson'!$R$23:$R$2653,"Yes")</f>
        <v>0</v>
      </c>
      <c r="M47" s="177" t="s">
        <v>3</v>
      </c>
      <c r="N47" s="177" t="s">
        <v>31</v>
      </c>
      <c r="O47" s="160" t="s">
        <v>3</v>
      </c>
      <c r="P47" s="133"/>
      <c r="Q47" s="133">
        <f>'One year follow-up_inperson'!C2</f>
        <v>0</v>
      </c>
      <c r="R47" s="61" t="str">
        <f ca="1">IFERROR(__xludf.DUMMYFUNCTION("ARRAY_CONSTRAIN(ARRAYFORMULA(UNIQUE('One year follow-up'!$C10:$C208)), 19, 1)"),"160")</f>
        <v>160</v>
      </c>
      <c r="S47" s="133" t="e">
        <f ca="1">COUNTIFS('One year follow-up_inperson'!#REF!,R47,'One year follow-up_inperson'!#REF!,"No")</f>
        <v>#REF!</v>
      </c>
      <c r="T47" s="176" t="s">
        <v>3</v>
      </c>
      <c r="U47" s="181" t="s">
        <v>31</v>
      </c>
      <c r="V47" s="182" t="s">
        <v>3</v>
      </c>
    </row>
    <row r="48" spans="1:22" ht="14.4">
      <c r="A48" s="170"/>
      <c r="B48" s="133">
        <f>'One year follow-up_inperson'!C3</f>
        <v>0</v>
      </c>
      <c r="C48" s="176" t="str">
        <f ca="1">IFERROR(__xludf.DUMMYFUNCTION("""COMPUTED_VALUE"""),"156")</f>
        <v>156</v>
      </c>
      <c r="D48" s="176" t="e">
        <f ca="1">COUNTIF('One year follow-up_inperson'!#REF!,C48)</f>
        <v>#REF!</v>
      </c>
      <c r="E48" s="176" t="s">
        <v>3</v>
      </c>
      <c r="F48" s="183" t="s">
        <v>31</v>
      </c>
      <c r="G48" s="160" t="s">
        <v>3</v>
      </c>
      <c r="H48" s="178" t="e">
        <f ca="1">D48='One year follow-up_inperson'!G3</f>
        <v>#REF!</v>
      </c>
      <c r="I48" s="133"/>
      <c r="J48" s="133">
        <f>'One year follow-up_inperson'!C3</f>
        <v>0</v>
      </c>
      <c r="K48" s="61" t="str">
        <f ca="1">IFERROR(__xludf.DUMMYFUNCTION("""COMPUTED_VALUE"""),"156")</f>
        <v>156</v>
      </c>
      <c r="L48" s="179" t="e">
        <f ca="1">COUNTIFS('One year follow-up_inperson'!#REF!,K48,'One year follow-up_inperson'!#REF!,"Yes")</f>
        <v>#REF!</v>
      </c>
      <c r="M48" s="176" t="s">
        <v>3</v>
      </c>
      <c r="N48" s="183" t="s">
        <v>31</v>
      </c>
      <c r="O48" s="160" t="s">
        <v>3</v>
      </c>
      <c r="P48" s="133"/>
      <c r="Q48" s="133">
        <f>'One year follow-up_inperson'!C3</f>
        <v>0</v>
      </c>
      <c r="R48" s="61" t="str">
        <f ca="1">IFERROR(__xludf.DUMMYFUNCTION("""COMPUTED_VALUE"""),"156")</f>
        <v>156</v>
      </c>
      <c r="S48" s="133" t="e">
        <f ca="1">COUNTIFS('One year follow-up_inperson'!#REF!,R48,'One year follow-up_inperson'!#REF!,"No")</f>
        <v>#REF!</v>
      </c>
      <c r="T48" s="183" t="s">
        <v>31</v>
      </c>
      <c r="U48" s="183" t="s">
        <v>31</v>
      </c>
      <c r="V48" s="182" t="s">
        <v>3</v>
      </c>
    </row>
    <row r="49" spans="1:22" ht="14.4">
      <c r="A49" s="170"/>
      <c r="B49" s="133">
        <f>'One year follow-up_inperson'!C4</f>
        <v>0</v>
      </c>
      <c r="C49" s="176" t="str">
        <f ca="1">IFERROR(__xludf.DUMMYFUNCTION("""COMPUTED_VALUE"""),"158")</f>
        <v>158</v>
      </c>
      <c r="D49" s="176" t="e">
        <f ca="1">COUNTIF('One year follow-up_inperson'!#REF!,C49)</f>
        <v>#REF!</v>
      </c>
      <c r="E49" s="176" t="s">
        <v>3</v>
      </c>
      <c r="F49" s="183" t="s">
        <v>31</v>
      </c>
      <c r="G49" s="160" t="s">
        <v>3</v>
      </c>
      <c r="H49" s="178" t="e">
        <f ca="1">D49='One year follow-up_inperson'!G4</f>
        <v>#REF!</v>
      </c>
      <c r="I49" s="133"/>
      <c r="J49" s="133">
        <f>'One year follow-up_inperson'!C4</f>
        <v>0</v>
      </c>
      <c r="K49" s="61" t="str">
        <f ca="1">IFERROR(__xludf.DUMMYFUNCTION("""COMPUTED_VALUE"""),"158")</f>
        <v>158</v>
      </c>
      <c r="L49" s="179" t="e">
        <f ca="1">COUNTIFS('One year follow-up_inperson'!#REF!,K49,'One year follow-up_inperson'!#REF!,"Yes")</f>
        <v>#REF!</v>
      </c>
      <c r="M49" s="176" t="s">
        <v>3</v>
      </c>
      <c r="N49" s="183" t="s">
        <v>31</v>
      </c>
      <c r="O49" s="160" t="s">
        <v>3</v>
      </c>
      <c r="P49" s="133"/>
      <c r="Q49" s="133">
        <f>'One year follow-up_inperson'!C4</f>
        <v>0</v>
      </c>
      <c r="R49" s="61" t="str">
        <f ca="1">IFERROR(__xludf.DUMMYFUNCTION("""COMPUTED_VALUE"""),"158")</f>
        <v>158</v>
      </c>
      <c r="S49" s="133" t="e">
        <f ca="1">COUNTIFS('One year follow-up_inperson'!#REF!,R49,'One year follow-up_inperson'!#REF!,"No")</f>
        <v>#REF!</v>
      </c>
      <c r="T49" s="183" t="s">
        <v>31</v>
      </c>
      <c r="U49" s="181" t="s">
        <v>31</v>
      </c>
      <c r="V49" s="182" t="s">
        <v>3</v>
      </c>
    </row>
    <row r="50" spans="1:22" ht="14.4">
      <c r="A50" s="170"/>
      <c r="B50" s="133">
        <f>'One year follow-up_inperson'!C5</f>
        <v>0</v>
      </c>
      <c r="C50" s="176" t="str">
        <f ca="1">IFERROR(__xludf.DUMMYFUNCTION("""COMPUTED_VALUE"""),"159")</f>
        <v>159</v>
      </c>
      <c r="D50" s="176" t="e">
        <f ca="1">COUNTIF('One year follow-up_inperson'!#REF!,C50)</f>
        <v>#REF!</v>
      </c>
      <c r="E50" s="183" t="s">
        <v>3</v>
      </c>
      <c r="F50" s="183" t="s">
        <v>31</v>
      </c>
      <c r="G50" s="180" t="s">
        <v>3</v>
      </c>
      <c r="H50" s="178" t="e">
        <f ca="1">D50='One year follow-up_inperson'!G5</f>
        <v>#REF!</v>
      </c>
      <c r="I50" s="133"/>
      <c r="J50" s="133">
        <f>'One year follow-up_inperson'!C5</f>
        <v>0</v>
      </c>
      <c r="K50" s="61" t="str">
        <f ca="1">IFERROR(__xludf.DUMMYFUNCTION("""COMPUTED_VALUE"""),"159")</f>
        <v>159</v>
      </c>
      <c r="L50" s="179" t="e">
        <f ca="1">COUNTIFS('One year follow-up_inperson'!#REF!,K50,'One year follow-up_inperson'!#REF!,"Yes")</f>
        <v>#REF!</v>
      </c>
      <c r="M50" s="183" t="s">
        <v>3</v>
      </c>
      <c r="N50" s="183" t="s">
        <v>31</v>
      </c>
      <c r="O50" s="180" t="s">
        <v>3</v>
      </c>
      <c r="P50" s="133"/>
      <c r="Q50" s="133">
        <f>'One year follow-up_inperson'!C5</f>
        <v>0</v>
      </c>
      <c r="R50" s="61" t="str">
        <f ca="1">IFERROR(__xludf.DUMMYFUNCTION("""COMPUTED_VALUE"""),"159")</f>
        <v>159</v>
      </c>
      <c r="S50" s="133" t="e">
        <f ca="1">COUNTIFS('One year follow-up_inperson'!#REF!,R50,'One year follow-up_inperson'!#REF!,"No")</f>
        <v>#REF!</v>
      </c>
      <c r="T50" s="183" t="s">
        <v>31</v>
      </c>
      <c r="U50" s="183" t="s">
        <v>3</v>
      </c>
      <c r="V50" s="182" t="s">
        <v>3</v>
      </c>
    </row>
    <row r="51" spans="1:22" ht="14.4">
      <c r="A51" s="170"/>
      <c r="B51" s="133">
        <f>'One year follow-up_inperson'!C6</f>
        <v>0</v>
      </c>
      <c r="C51" s="176" t="str">
        <f ca="1">IFERROR(__xludf.DUMMYFUNCTION("""COMPUTED_VALUE"""),"157")</f>
        <v>157</v>
      </c>
      <c r="D51" s="176" t="e">
        <f ca="1">COUNTIF('One year follow-up_inperson'!#REF!,C51)</f>
        <v>#REF!</v>
      </c>
      <c r="E51" s="176" t="s">
        <v>3</v>
      </c>
      <c r="F51" s="181" t="s">
        <v>31</v>
      </c>
      <c r="G51" s="180" t="s">
        <v>3</v>
      </c>
      <c r="H51" s="178" t="e">
        <f ca="1">D51='One year follow-up_inperson'!G6</f>
        <v>#REF!</v>
      </c>
      <c r="I51" s="133"/>
      <c r="J51" s="133">
        <f>'One year follow-up_inperson'!C6</f>
        <v>0</v>
      </c>
      <c r="K51" s="61" t="str">
        <f ca="1">IFERROR(__xludf.DUMMYFUNCTION("""COMPUTED_VALUE"""),"157")</f>
        <v>157</v>
      </c>
      <c r="L51" s="179" t="e">
        <f ca="1">COUNTIFS('One year follow-up_inperson'!#REF!,K51,'One year follow-up_inperson'!#REF!,"Yes")</f>
        <v>#REF!</v>
      </c>
      <c r="M51" s="176" t="s">
        <v>3</v>
      </c>
      <c r="N51" s="181" t="s">
        <v>31</v>
      </c>
      <c r="O51" s="180" t="s">
        <v>3</v>
      </c>
      <c r="P51" s="133"/>
      <c r="Q51" s="133">
        <f>'One year follow-up_inperson'!C6</f>
        <v>0</v>
      </c>
      <c r="R51" s="61" t="str">
        <f ca="1">IFERROR(__xludf.DUMMYFUNCTION("""COMPUTED_VALUE"""),"157")</f>
        <v>157</v>
      </c>
      <c r="S51" s="133" t="e">
        <f ca="1">COUNTIFS('One year follow-up_inperson'!#REF!,R51,'One year follow-up_inperson'!#REF!,"No")</f>
        <v>#REF!</v>
      </c>
      <c r="T51" s="183" t="s">
        <v>31</v>
      </c>
      <c r="U51" s="183" t="s">
        <v>3</v>
      </c>
      <c r="V51" s="184" t="s">
        <v>3</v>
      </c>
    </row>
    <row r="52" spans="1:22" ht="14.4">
      <c r="A52" s="170"/>
      <c r="B52" s="133">
        <f>'One year follow-up_inperson'!C7</f>
        <v>0</v>
      </c>
      <c r="C52" s="176" t="str">
        <f ca="1">IFERROR(__xludf.DUMMYFUNCTION("""COMPUTED_VALUE"""),"152")</f>
        <v>152</v>
      </c>
      <c r="D52" s="176" t="e">
        <f ca="1">COUNTIF('One year follow-up_inperson'!#REF!,C52)</f>
        <v>#REF!</v>
      </c>
      <c r="E52" s="176" t="s">
        <v>3</v>
      </c>
      <c r="F52" s="181" t="s">
        <v>31</v>
      </c>
      <c r="G52" s="180" t="s">
        <v>3</v>
      </c>
      <c r="H52" s="178" t="e">
        <f ca="1">D52='One year follow-up_inperson'!G7</f>
        <v>#REF!</v>
      </c>
      <c r="I52" s="133"/>
      <c r="J52" s="133">
        <f>'One year follow-up_inperson'!C7</f>
        <v>0</v>
      </c>
      <c r="K52" s="61" t="str">
        <f ca="1">IFERROR(__xludf.DUMMYFUNCTION("""COMPUTED_VALUE"""),"152")</f>
        <v>152</v>
      </c>
      <c r="L52" s="179" t="e">
        <f ca="1">COUNTIFS('One year follow-up_inperson'!#REF!,K52,'One year follow-up_inperson'!#REF!,"Yes")</f>
        <v>#REF!</v>
      </c>
      <c r="M52" s="176" t="s">
        <v>3</v>
      </c>
      <c r="N52" s="181" t="s">
        <v>31</v>
      </c>
      <c r="O52" s="180" t="s">
        <v>3</v>
      </c>
      <c r="P52" s="133"/>
      <c r="Q52" s="133">
        <f>'One year follow-up_inperson'!C7</f>
        <v>0</v>
      </c>
      <c r="R52" s="61" t="str">
        <f ca="1">IFERROR(__xludf.DUMMYFUNCTION("""COMPUTED_VALUE"""),"152")</f>
        <v>152</v>
      </c>
      <c r="S52" s="133" t="e">
        <f ca="1">COUNTIFS('One year follow-up_inperson'!#REF!,R52,'One year follow-up_inperson'!#REF!,"No")</f>
        <v>#REF!</v>
      </c>
      <c r="T52" s="183" t="s">
        <v>3</v>
      </c>
      <c r="U52" s="183" t="s">
        <v>3</v>
      </c>
      <c r="V52" s="184" t="s">
        <v>3</v>
      </c>
    </row>
    <row r="53" spans="1:22" ht="14.4">
      <c r="A53" s="170"/>
      <c r="B53" s="133">
        <f>'One year follow-up_inperson'!C8</f>
        <v>0</v>
      </c>
      <c r="C53" s="176" t="str">
        <f ca="1">IFERROR(__xludf.DUMMYFUNCTION("""COMPUTED_VALUE"""),"154")</f>
        <v>154</v>
      </c>
      <c r="D53" s="176" t="e">
        <f ca="1">COUNTIF('One year follow-up_inperson'!#REF!,C53)</f>
        <v>#REF!</v>
      </c>
      <c r="E53" s="176" t="s">
        <v>3</v>
      </c>
      <c r="F53" s="181" t="s">
        <v>31</v>
      </c>
      <c r="G53" s="180" t="s">
        <v>3</v>
      </c>
      <c r="H53" s="178" t="e">
        <f ca="1">D53='One year follow-up_inperson'!G8</f>
        <v>#REF!</v>
      </c>
      <c r="I53" s="133"/>
      <c r="J53" s="133">
        <f>'One year follow-up_inperson'!C8</f>
        <v>0</v>
      </c>
      <c r="K53" s="61" t="str">
        <f ca="1">IFERROR(__xludf.DUMMYFUNCTION("""COMPUTED_VALUE"""),"154")</f>
        <v>154</v>
      </c>
      <c r="L53" s="179" t="e">
        <f ca="1">COUNTIFS('One year follow-up_inperson'!#REF!,K53,'One year follow-up_inperson'!#REF!,"Yes")</f>
        <v>#REF!</v>
      </c>
      <c r="M53" s="176" t="s">
        <v>3</v>
      </c>
      <c r="N53" s="181" t="s">
        <v>31</v>
      </c>
      <c r="O53" s="180" t="s">
        <v>3</v>
      </c>
      <c r="P53" s="133"/>
      <c r="Q53" s="133">
        <f>'One year follow-up_inperson'!C8</f>
        <v>0</v>
      </c>
      <c r="R53" s="61" t="str">
        <f ca="1">IFERROR(__xludf.DUMMYFUNCTION("""COMPUTED_VALUE"""),"154")</f>
        <v>154</v>
      </c>
      <c r="S53" s="133" t="e">
        <f ca="1">COUNTIFS('One year follow-up_inperson'!#REF!,R53,'One year follow-up_inperson'!#REF!,"No")</f>
        <v>#REF!</v>
      </c>
      <c r="T53" s="183" t="s">
        <v>3</v>
      </c>
      <c r="U53" s="183" t="s">
        <v>3</v>
      </c>
      <c r="V53" s="184" t="s">
        <v>3</v>
      </c>
    </row>
    <row r="54" spans="1:22" ht="14.4">
      <c r="A54" s="170"/>
      <c r="B54" s="133">
        <f>'One year follow-up_inperson'!C9</f>
        <v>0</v>
      </c>
      <c r="C54" s="176" t="str">
        <f ca="1">IFERROR(__xludf.DUMMYFUNCTION("""COMPUTED_VALUE"""),"162")</f>
        <v>162</v>
      </c>
      <c r="D54" s="176">
        <f ca="1">COUNTIF('One year follow-up_inperson'!$B$23:$B$1499,C54)</f>
        <v>0</v>
      </c>
      <c r="E54" s="176" t="s">
        <v>3</v>
      </c>
      <c r="F54" s="181" t="s">
        <v>5</v>
      </c>
      <c r="G54" s="180" t="s">
        <v>5</v>
      </c>
      <c r="H54" s="178" t="b">
        <f ca="1">D54='One year follow-up_inperson'!G9</f>
        <v>1</v>
      </c>
      <c r="I54" s="133"/>
      <c r="J54" s="133">
        <f>'One year follow-up_inperson'!C9</f>
        <v>0</v>
      </c>
      <c r="K54" s="61" t="str">
        <f ca="1">IFERROR(__xludf.DUMMYFUNCTION("""COMPUTED_VALUE"""),"162")</f>
        <v>162</v>
      </c>
      <c r="L54" s="179" t="e">
        <f ca="1">COUNTIFS('One year follow-up_inperson'!#REF!,K54,'One year follow-up_inperson'!#REF!,"Yes")</f>
        <v>#REF!</v>
      </c>
      <c r="M54" s="176" t="s">
        <v>3</v>
      </c>
      <c r="N54" s="181" t="s">
        <v>5</v>
      </c>
      <c r="O54" s="180" t="s">
        <v>5</v>
      </c>
      <c r="P54" s="133"/>
      <c r="Q54" s="133">
        <f>'One year follow-up_inperson'!C9</f>
        <v>0</v>
      </c>
      <c r="R54" s="61" t="str">
        <f ca="1">IFERROR(__xludf.DUMMYFUNCTION("""COMPUTED_VALUE"""),"162")</f>
        <v>162</v>
      </c>
      <c r="S54" s="133" t="e">
        <f ca="1">COUNTIFS('One year follow-up_inperson'!#REF!,R54,'One year follow-up_inperson'!#REF!,"No")</f>
        <v>#REF!</v>
      </c>
      <c r="T54" s="183" t="s">
        <v>3</v>
      </c>
      <c r="U54" s="183" t="s">
        <v>5</v>
      </c>
      <c r="V54" s="182" t="s">
        <v>5</v>
      </c>
    </row>
    <row r="55" spans="1:22" ht="14.4">
      <c r="A55" s="170"/>
      <c r="B55" s="133">
        <f>'One year follow-up_inperson'!C10</f>
        <v>0</v>
      </c>
      <c r="C55" s="176" t="str">
        <f ca="1">IFERROR(__xludf.DUMMYFUNCTION("""COMPUTED_VALUE"""),"163")</f>
        <v>163</v>
      </c>
      <c r="D55" s="176" t="e">
        <f ca="1">COUNTIF('One year follow-up_inperson'!#REF!,C55)</f>
        <v>#REF!</v>
      </c>
      <c r="E55" s="183" t="s">
        <v>3</v>
      </c>
      <c r="F55" s="183" t="s">
        <v>5</v>
      </c>
      <c r="G55" s="180" t="s">
        <v>5</v>
      </c>
      <c r="H55" s="178" t="e">
        <f ca="1">D55='One year follow-up_inperson'!G10</f>
        <v>#REF!</v>
      </c>
      <c r="I55" s="133"/>
      <c r="J55" s="133">
        <f>'One year follow-up_inperson'!C10</f>
        <v>0</v>
      </c>
      <c r="K55" s="61" t="str">
        <f ca="1">IFERROR(__xludf.DUMMYFUNCTION("""COMPUTED_VALUE"""),"163")</f>
        <v>163</v>
      </c>
      <c r="L55" s="179" t="e">
        <f ca="1">COUNTIFS('One year follow-up_inperson'!#REF!,K55,'One year follow-up_inperson'!#REF!,"Yes")</f>
        <v>#REF!</v>
      </c>
      <c r="M55" s="183" t="s">
        <v>3</v>
      </c>
      <c r="N55" s="183" t="s">
        <v>5</v>
      </c>
      <c r="O55" s="180" t="s">
        <v>5</v>
      </c>
      <c r="P55" s="133"/>
      <c r="Q55" s="133">
        <f>'One year follow-up_inperson'!C10</f>
        <v>0</v>
      </c>
      <c r="R55" s="61" t="str">
        <f ca="1">IFERROR(__xludf.DUMMYFUNCTION("""COMPUTED_VALUE"""),"163")</f>
        <v>163</v>
      </c>
      <c r="S55" s="133" t="e">
        <f ca="1">COUNTIFS('One year follow-up_inperson'!#REF!,R55,'One year follow-up_inperson'!#REF!,"No")</f>
        <v>#REF!</v>
      </c>
      <c r="T55" s="176" t="s">
        <v>3</v>
      </c>
      <c r="U55" s="181" t="s">
        <v>5</v>
      </c>
      <c r="V55" s="182" t="s">
        <v>5</v>
      </c>
    </row>
    <row r="56" spans="1:22" ht="14.4">
      <c r="A56" s="170"/>
      <c r="B56" s="133">
        <f>'One year follow-up_inperson'!C11</f>
        <v>0</v>
      </c>
      <c r="C56" s="176" t="str">
        <f ca="1">IFERROR(__xludf.DUMMYFUNCTION("""COMPUTED_VALUE"""),"164")</f>
        <v>164</v>
      </c>
      <c r="D56" s="176" t="e">
        <f ca="1">COUNTIF('One year follow-up_inperson'!#REF!,C56)</f>
        <v>#REF!</v>
      </c>
      <c r="E56" s="181" t="s">
        <v>3</v>
      </c>
      <c r="F56" s="181" t="s">
        <v>5</v>
      </c>
      <c r="G56" s="180" t="s">
        <v>5</v>
      </c>
      <c r="H56" s="178" t="e">
        <f ca="1">D56='One year follow-up_inperson'!G11</f>
        <v>#REF!</v>
      </c>
      <c r="I56" s="133"/>
      <c r="J56" s="133">
        <f>'One year follow-up_inperson'!C11</f>
        <v>0</v>
      </c>
      <c r="K56" s="61" t="str">
        <f ca="1">IFERROR(__xludf.DUMMYFUNCTION("""COMPUTED_VALUE"""),"164")</f>
        <v>164</v>
      </c>
      <c r="L56" s="179" t="e">
        <f ca="1">COUNTIFS('One year follow-up_inperson'!#REF!,K56,'One year follow-up_inperson'!#REF!,"Yes")</f>
        <v>#REF!</v>
      </c>
      <c r="M56" s="181" t="s">
        <v>3</v>
      </c>
      <c r="N56" s="181" t="s">
        <v>5</v>
      </c>
      <c r="O56" s="180" t="s">
        <v>5</v>
      </c>
      <c r="P56" s="133"/>
      <c r="Q56" s="133">
        <f>'One year follow-up_inperson'!C11</f>
        <v>0</v>
      </c>
      <c r="R56" s="61" t="str">
        <f ca="1">IFERROR(__xludf.DUMMYFUNCTION("""COMPUTED_VALUE"""),"164")</f>
        <v>164</v>
      </c>
      <c r="S56" s="133" t="e">
        <f ca="1">COUNTIFS('One year follow-up_inperson'!#REF!,R56,'One year follow-up_inperson'!#REF!,"No")</f>
        <v>#REF!</v>
      </c>
      <c r="T56" s="183" t="s">
        <v>3</v>
      </c>
      <c r="U56" s="183" t="s">
        <v>5</v>
      </c>
      <c r="V56" s="182" t="s">
        <v>5</v>
      </c>
    </row>
    <row r="57" spans="1:22" ht="14.4">
      <c r="A57" s="170"/>
      <c r="B57" s="133">
        <f>'One year follow-up_inperson'!C12</f>
        <v>0</v>
      </c>
      <c r="C57" s="185" t="str">
        <f ca="1">IFERROR(__xludf.DUMMYFUNCTION("""COMPUTED_VALUE"""),"165")</f>
        <v>165</v>
      </c>
      <c r="D57" s="176" t="e">
        <f ca="1">COUNTIF('One year follow-up_inperson'!#REF!,C57)</f>
        <v>#REF!</v>
      </c>
      <c r="E57" s="327" t="s">
        <v>3</v>
      </c>
      <c r="F57" s="180" t="s">
        <v>5</v>
      </c>
      <c r="G57" s="180" t="s">
        <v>5</v>
      </c>
      <c r="H57" s="178" t="e">
        <f ca="1">D57='One year follow-up_inperson'!G12</f>
        <v>#REF!</v>
      </c>
      <c r="I57" s="133"/>
      <c r="J57" s="133">
        <f>'One year follow-up_inperson'!C12</f>
        <v>0</v>
      </c>
      <c r="K57" s="61" t="str">
        <f ca="1">IFERROR(__xludf.DUMMYFUNCTION("""COMPUTED_VALUE"""),"165")</f>
        <v>165</v>
      </c>
      <c r="L57" s="179" t="e">
        <f ca="1">COUNTIFS('One year follow-up_inperson'!#REF!,K57,'One year follow-up_inperson'!#REF!,"Yes")</f>
        <v>#REF!</v>
      </c>
      <c r="M57" s="327" t="s">
        <v>3</v>
      </c>
      <c r="N57" s="180" t="s">
        <v>5</v>
      </c>
      <c r="O57" s="180" t="s">
        <v>5</v>
      </c>
      <c r="P57" s="133"/>
      <c r="Q57" s="133">
        <f>'One year follow-up_inperson'!C12</f>
        <v>0</v>
      </c>
      <c r="R57" s="61" t="str">
        <f ca="1">IFERROR(__xludf.DUMMYFUNCTION("""COMPUTED_VALUE"""),"165")</f>
        <v>165</v>
      </c>
      <c r="S57" s="133" t="e">
        <f ca="1">COUNTIFS('One year follow-up_inperson'!#REF!,R57,'One year follow-up_inperson'!#REF!,"No")</f>
        <v>#REF!</v>
      </c>
      <c r="T57" s="181" t="s">
        <v>3</v>
      </c>
      <c r="U57" s="181" t="s">
        <v>5</v>
      </c>
      <c r="V57" s="182" t="s">
        <v>5</v>
      </c>
    </row>
    <row r="58" spans="1:22" ht="14.4">
      <c r="A58" s="170"/>
      <c r="B58" s="133" t="e">
        <f>'One year follow-up_inperson'!#REF!</f>
        <v>#REF!</v>
      </c>
      <c r="C58" s="185" t="str">
        <f ca="1">IFERROR(__xludf.DUMMYFUNCTION("""COMPUTED_VALUE"""),"166")</f>
        <v>166</v>
      </c>
      <c r="D58" s="176" t="e">
        <f ca="1">COUNTIF('One year follow-up_inperson'!#REF!,C58)</f>
        <v>#REF!</v>
      </c>
      <c r="E58" s="327" t="s">
        <v>3</v>
      </c>
      <c r="F58" s="180" t="s">
        <v>5</v>
      </c>
      <c r="G58" s="180" t="s">
        <v>5</v>
      </c>
      <c r="H58" s="178" t="e">
        <f ca="1">D58='One year follow-up_inperson'!#REF!</f>
        <v>#REF!</v>
      </c>
      <c r="I58" s="133"/>
      <c r="J58" s="133" t="e">
        <f>'One year follow-up_inperson'!#REF!</f>
        <v>#REF!</v>
      </c>
      <c r="K58" s="61" t="str">
        <f ca="1">IFERROR(__xludf.DUMMYFUNCTION("""COMPUTED_VALUE"""),"166")</f>
        <v>166</v>
      </c>
      <c r="L58" s="179" t="e">
        <f ca="1">COUNTIFS('One year follow-up_inperson'!#REF!,K58,'One year follow-up_inperson'!#REF!,"Yes")</f>
        <v>#REF!</v>
      </c>
      <c r="M58" s="327" t="s">
        <v>3</v>
      </c>
      <c r="N58" s="180" t="s">
        <v>5</v>
      </c>
      <c r="O58" s="180" t="s">
        <v>5</v>
      </c>
      <c r="P58" s="133"/>
      <c r="Q58" s="133" t="e">
        <f>'One year follow-up_inperson'!#REF!</f>
        <v>#REF!</v>
      </c>
      <c r="R58" s="61" t="str">
        <f ca="1">IFERROR(__xludf.DUMMYFUNCTION("""COMPUTED_VALUE"""),"166")</f>
        <v>166</v>
      </c>
      <c r="S58" s="133" t="e">
        <f ca="1">COUNTIFS('One year follow-up_inperson'!#REF!,R58,'One year follow-up_inperson'!#REF!,"No")</f>
        <v>#REF!</v>
      </c>
      <c r="T58" s="327" t="s">
        <v>3</v>
      </c>
      <c r="U58" s="180" t="s">
        <v>5</v>
      </c>
      <c r="V58" s="182" t="s">
        <v>5</v>
      </c>
    </row>
    <row r="59" spans="1:22" ht="14.4">
      <c r="A59" s="170"/>
      <c r="B59" s="133" t="e">
        <f>'One year follow-up_inperson'!#REF!</f>
        <v>#REF!</v>
      </c>
      <c r="C59" s="185" t="str">
        <f ca="1">IFERROR(__xludf.DUMMYFUNCTION("""COMPUTED_VALUE"""),"167")</f>
        <v>167</v>
      </c>
      <c r="D59" s="176" t="e">
        <f ca="1">COUNTIF('One year follow-up_inperson'!#REF!,C59)</f>
        <v>#REF!</v>
      </c>
      <c r="E59" s="327" t="s">
        <v>3</v>
      </c>
      <c r="F59" s="180" t="s">
        <v>5</v>
      </c>
      <c r="G59" s="180" t="s">
        <v>5</v>
      </c>
      <c r="H59" s="178" t="e">
        <f ca="1">D59='One year follow-up_inperson'!#REF!</f>
        <v>#REF!</v>
      </c>
      <c r="I59" s="133"/>
      <c r="J59" s="133" t="e">
        <f>'One year follow-up_inperson'!#REF!</f>
        <v>#REF!</v>
      </c>
      <c r="K59" s="61" t="str">
        <f ca="1">IFERROR(__xludf.DUMMYFUNCTION("""COMPUTED_VALUE"""),"167")</f>
        <v>167</v>
      </c>
      <c r="L59" s="179" t="e">
        <f ca="1">COUNTIFS('One year follow-up_inperson'!#REF!,K59,'One year follow-up_inperson'!#REF!,"Yes")</f>
        <v>#REF!</v>
      </c>
      <c r="M59" s="327" t="s">
        <v>3</v>
      </c>
      <c r="N59" s="180" t="s">
        <v>5</v>
      </c>
      <c r="O59" s="180" t="s">
        <v>5</v>
      </c>
      <c r="P59" s="133"/>
      <c r="Q59" s="133" t="e">
        <f>'One year follow-up_inperson'!#REF!</f>
        <v>#REF!</v>
      </c>
      <c r="R59" s="61" t="str">
        <f ca="1">IFERROR(__xludf.DUMMYFUNCTION("""COMPUTED_VALUE"""),"167")</f>
        <v>167</v>
      </c>
      <c r="S59" s="133" t="e">
        <f ca="1">COUNTIFS('One year follow-up_inperson'!#REF!,R59,'One year follow-up_inperson'!#REF!,"No")</f>
        <v>#REF!</v>
      </c>
      <c r="T59" s="327" t="s">
        <v>3</v>
      </c>
      <c r="U59" s="180" t="s">
        <v>5</v>
      </c>
      <c r="V59" s="182" t="s">
        <v>5</v>
      </c>
    </row>
    <row r="60" spans="1:22" ht="14.4">
      <c r="A60" s="170"/>
      <c r="B60" s="133" t="e">
        <f>'One year follow-up_inperson'!#REF!</f>
        <v>#REF!</v>
      </c>
      <c r="C60" s="185" t="str">
        <f ca="1">IFERROR(__xludf.DUMMYFUNCTION("""COMPUTED_VALUE"""),"168")</f>
        <v>168</v>
      </c>
      <c r="D60" s="176" t="e">
        <f ca="1">COUNTIF('One year follow-up_inperson'!#REF!,C60)</f>
        <v>#REF!</v>
      </c>
      <c r="E60" s="327" t="s">
        <v>3</v>
      </c>
      <c r="F60" s="180" t="s">
        <v>5</v>
      </c>
      <c r="G60" s="180" t="s">
        <v>5</v>
      </c>
      <c r="H60" s="178" t="e">
        <f ca="1">D60='One year follow-up_inperson'!#REF!</f>
        <v>#REF!</v>
      </c>
      <c r="I60" s="133"/>
      <c r="J60" s="133" t="e">
        <f>'One year follow-up_inperson'!#REF!</f>
        <v>#REF!</v>
      </c>
      <c r="K60" s="61" t="str">
        <f ca="1">IFERROR(__xludf.DUMMYFUNCTION("""COMPUTED_VALUE"""),"168")</f>
        <v>168</v>
      </c>
      <c r="L60" s="179" t="e">
        <f ca="1">COUNTIFS('One year follow-up_inperson'!#REF!,K60,'One year follow-up_inperson'!#REF!,"Yes")</f>
        <v>#REF!</v>
      </c>
      <c r="M60" s="327" t="s">
        <v>3</v>
      </c>
      <c r="N60" s="180" t="s">
        <v>5</v>
      </c>
      <c r="O60" s="180" t="s">
        <v>5</v>
      </c>
      <c r="P60" s="133"/>
      <c r="Q60" s="133" t="e">
        <f>'One year follow-up_inperson'!#REF!</f>
        <v>#REF!</v>
      </c>
      <c r="R60" s="61" t="str">
        <f ca="1">IFERROR(__xludf.DUMMYFUNCTION("""COMPUTED_VALUE"""),"168")</f>
        <v>168</v>
      </c>
      <c r="S60" s="133" t="e">
        <f ca="1">COUNTIFS('One year follow-up_inperson'!#REF!,R60,'One year follow-up_inperson'!#REF!,"No")</f>
        <v>#REF!</v>
      </c>
      <c r="T60" s="327" t="s">
        <v>3</v>
      </c>
      <c r="U60" s="180" t="s">
        <v>5</v>
      </c>
      <c r="V60" s="182" t="s">
        <v>5</v>
      </c>
    </row>
    <row r="61" spans="1:22" ht="14.4">
      <c r="A61" s="170"/>
      <c r="B61" s="133" t="e">
        <f>'One year follow-up_inperson'!#REF!</f>
        <v>#REF!</v>
      </c>
      <c r="C61" s="176" t="str">
        <f ca="1">IFERROR(__xludf.DUMMYFUNCTION("""COMPUTED_VALUE"""),"186")</f>
        <v>186</v>
      </c>
      <c r="D61" s="176" t="e">
        <f ca="1">COUNTIF('One year follow-up_inperson'!#REF!,C61)</f>
        <v>#REF!</v>
      </c>
      <c r="E61" s="327" t="s">
        <v>3</v>
      </c>
      <c r="F61" s="180" t="s">
        <v>31</v>
      </c>
      <c r="G61" s="180" t="s">
        <v>3</v>
      </c>
      <c r="H61" s="178" t="e">
        <f ca="1">D61='One year follow-up_inperson'!#REF!</f>
        <v>#REF!</v>
      </c>
      <c r="I61" s="133"/>
      <c r="J61" s="133" t="e">
        <f>'One year follow-up_inperson'!#REF!</f>
        <v>#REF!</v>
      </c>
      <c r="K61" s="61" t="str">
        <f ca="1">IFERROR(__xludf.DUMMYFUNCTION("""COMPUTED_VALUE"""),"186")</f>
        <v>186</v>
      </c>
      <c r="L61" s="179" t="e">
        <f ca="1">COUNTIFS('One year follow-up_inperson'!#REF!,K61,'One year follow-up_inperson'!#REF!,"Yes")</f>
        <v>#REF!</v>
      </c>
      <c r="M61" s="327" t="s">
        <v>3</v>
      </c>
      <c r="N61" s="180" t="s">
        <v>31</v>
      </c>
      <c r="O61" s="180" t="s">
        <v>3</v>
      </c>
      <c r="P61" s="133"/>
      <c r="Q61" s="133" t="e">
        <f>'One year follow-up_inperson'!#REF!</f>
        <v>#REF!</v>
      </c>
      <c r="R61" s="61" t="str">
        <f ca="1">IFERROR(__xludf.DUMMYFUNCTION("""COMPUTED_VALUE"""),"186")</f>
        <v>186</v>
      </c>
      <c r="S61" s="133" t="e">
        <f ca="1">COUNTIFS('One year follow-up_inperson'!#REF!,R61,'One year follow-up_inperson'!#REF!,"No")</f>
        <v>#REF!</v>
      </c>
      <c r="T61" s="327" t="s">
        <v>3</v>
      </c>
      <c r="U61" s="180" t="s">
        <v>5</v>
      </c>
      <c r="V61" s="182" t="s">
        <v>3</v>
      </c>
    </row>
    <row r="62" spans="1:22" ht="14.4">
      <c r="A62" s="170"/>
      <c r="B62" s="133" t="e">
        <f>'One year follow-up_inperson'!#REF!</f>
        <v>#REF!</v>
      </c>
      <c r="C62" s="176" t="str">
        <f ca="1">IFERROR(__xludf.DUMMYFUNCTION("""COMPUTED_VALUE"""),"189")</f>
        <v>189</v>
      </c>
      <c r="D62" s="176" t="e">
        <f ca="1">COUNTIF('One year follow-up_inperson'!#REF!,C62)</f>
        <v>#REF!</v>
      </c>
      <c r="E62" s="327" t="s">
        <v>3</v>
      </c>
      <c r="F62" s="180" t="s">
        <v>31</v>
      </c>
      <c r="G62" s="180" t="s">
        <v>3</v>
      </c>
      <c r="H62" s="178" t="e">
        <f ca="1">D62='One year follow-up_inperson'!#REF!</f>
        <v>#REF!</v>
      </c>
      <c r="I62" s="133"/>
      <c r="J62" s="133" t="e">
        <f>'One year follow-up_inperson'!#REF!</f>
        <v>#REF!</v>
      </c>
      <c r="K62" s="61" t="str">
        <f ca="1">IFERROR(__xludf.DUMMYFUNCTION("""COMPUTED_VALUE"""),"189")</f>
        <v>189</v>
      </c>
      <c r="L62" s="179" t="e">
        <f ca="1">COUNTIFS('One year follow-up_inperson'!#REF!,K62,'One year follow-up_inperson'!#REF!,"Yes")</f>
        <v>#REF!</v>
      </c>
      <c r="M62" s="327" t="s">
        <v>3</v>
      </c>
      <c r="N62" s="180" t="s">
        <v>31</v>
      </c>
      <c r="O62" s="180" t="s">
        <v>3</v>
      </c>
      <c r="P62" s="133"/>
      <c r="Q62" s="133" t="e">
        <f>'One year follow-up_inperson'!#REF!</f>
        <v>#REF!</v>
      </c>
      <c r="R62" s="61" t="str">
        <f ca="1">IFERROR(__xludf.DUMMYFUNCTION("""COMPUTED_VALUE"""),"189")</f>
        <v>189</v>
      </c>
      <c r="S62" s="133" t="e">
        <f ca="1">COUNTIFS('One year follow-up_inperson'!#REF!,R62,'One year follow-up_inperson'!#REF!,"No")</f>
        <v>#REF!</v>
      </c>
      <c r="T62" s="327" t="s">
        <v>3</v>
      </c>
      <c r="U62" s="180" t="s">
        <v>31</v>
      </c>
      <c r="V62" s="182" t="s">
        <v>3</v>
      </c>
    </row>
    <row r="63" spans="1:22" ht="14.4">
      <c r="A63" s="170"/>
      <c r="B63" s="133" t="e">
        <f>'One year follow-up_inperson'!#REF!</f>
        <v>#REF!</v>
      </c>
      <c r="C63" s="176" t="str">
        <f ca="1">IFERROR(__xludf.DUMMYFUNCTION("""COMPUTED_VALUE"""),"174")</f>
        <v>174</v>
      </c>
      <c r="D63" s="176">
        <f ca="1">COUNTIF('One year follow-up_inperson'!$B$23:$B$1499,C63)</f>
        <v>0</v>
      </c>
      <c r="E63" s="327" t="s">
        <v>3</v>
      </c>
      <c r="F63" s="180" t="s">
        <v>31</v>
      </c>
      <c r="G63" s="180" t="s">
        <v>3</v>
      </c>
      <c r="H63" s="178" t="e">
        <f ca="1">D63='One year follow-up_inperson'!#REF!</f>
        <v>#REF!</v>
      </c>
      <c r="I63" s="143"/>
      <c r="J63" s="133" t="e">
        <f>'One year follow-up_inperson'!#REF!</f>
        <v>#REF!</v>
      </c>
      <c r="K63" s="61" t="str">
        <f ca="1">IFERROR(__xludf.DUMMYFUNCTION("""COMPUTED_VALUE"""),"174")</f>
        <v>174</v>
      </c>
      <c r="L63" s="179" t="e">
        <f ca="1">COUNTIFS('One year follow-up_inperson'!#REF!,K63,'One year follow-up_inperson'!#REF!,"Yes")</f>
        <v>#REF!</v>
      </c>
      <c r="M63" s="327" t="s">
        <v>3</v>
      </c>
      <c r="N63" s="180" t="s">
        <v>31</v>
      </c>
      <c r="O63" s="180" t="s">
        <v>3</v>
      </c>
      <c r="P63" s="133"/>
      <c r="Q63" s="133" t="e">
        <f>'One year follow-up_inperson'!#REF!</f>
        <v>#REF!</v>
      </c>
      <c r="R63" s="61" t="str">
        <f ca="1">IFERROR(__xludf.DUMMYFUNCTION("""COMPUTED_VALUE"""),"174")</f>
        <v>174</v>
      </c>
      <c r="S63" s="133" t="e">
        <f ca="1">COUNTIFS('One year follow-up_inperson'!#REF!,R63,'One year follow-up_inperson'!#REF!,"No")</f>
        <v>#REF!</v>
      </c>
      <c r="T63" s="327" t="s">
        <v>3</v>
      </c>
      <c r="U63" s="180" t="s">
        <v>31</v>
      </c>
      <c r="V63" s="182" t="s">
        <v>3</v>
      </c>
    </row>
    <row r="64" spans="1:22" ht="14.4">
      <c r="A64" s="170"/>
      <c r="B64" s="133" t="e">
        <f>'One year follow-up_inperson'!#REF!</f>
        <v>#REF!</v>
      </c>
      <c r="C64" s="176" t="str">
        <f ca="1">IFERROR(__xludf.DUMMYFUNCTION("""COMPUTED_VALUE"""),"179")</f>
        <v>179</v>
      </c>
      <c r="D64" s="176">
        <f ca="1">COUNTIF('One year follow-up_inperson'!$B$23:$B$1499,C64)</f>
        <v>0</v>
      </c>
      <c r="E64" s="327" t="s">
        <v>3</v>
      </c>
      <c r="F64" s="180" t="s">
        <v>31</v>
      </c>
      <c r="G64" s="180" t="s">
        <v>3</v>
      </c>
      <c r="H64" s="178" t="e">
        <f ca="1">D64='One year follow-up_inperson'!#REF!</f>
        <v>#REF!</v>
      </c>
      <c r="I64" s="143"/>
      <c r="J64" s="133" t="e">
        <f>'One year follow-up_inperson'!#REF!</f>
        <v>#REF!</v>
      </c>
      <c r="K64" s="61" t="str">
        <f ca="1">IFERROR(__xludf.DUMMYFUNCTION("""COMPUTED_VALUE"""),"179")</f>
        <v>179</v>
      </c>
      <c r="L64" s="179">
        <f ca="1">COUNTIFS('One year follow-up_inperson'!$B$23:$B$2159,K64,'One year follow-up_inperson'!$R$23:$R$2159,"Yes")</f>
        <v>0</v>
      </c>
      <c r="M64" s="327" t="s">
        <v>3</v>
      </c>
      <c r="N64" s="180" t="s">
        <v>31</v>
      </c>
      <c r="O64" s="180" t="s">
        <v>3</v>
      </c>
      <c r="P64" s="133"/>
      <c r="Q64" s="133" t="e">
        <f>'One year follow-up_inperson'!#REF!</f>
        <v>#REF!</v>
      </c>
      <c r="R64" s="61" t="str">
        <f ca="1">IFERROR(__xludf.DUMMYFUNCTION("""COMPUTED_VALUE"""),"179")</f>
        <v>179</v>
      </c>
      <c r="S64" s="133" t="e">
        <f ca="1">COUNTIFS('One year follow-up_inperson'!#REF!,R64,'One year follow-up_inperson'!#REF!,"No")</f>
        <v>#REF!</v>
      </c>
      <c r="T64" s="327" t="s">
        <v>3</v>
      </c>
      <c r="U64" s="180" t="s">
        <v>31</v>
      </c>
      <c r="V64" s="182" t="s">
        <v>3</v>
      </c>
    </row>
    <row r="65" spans="1:22" ht="14.4">
      <c r="A65" s="170"/>
      <c r="B65" s="133" t="e">
        <f>'One year follow-up_inperson'!#REF!</f>
        <v>#REF!</v>
      </c>
      <c r="C65" s="176" t="str">
        <f ca="1">IFERROR(__xludf.DUMMYFUNCTION("""COMPUTED_VALUE"""),"181")</f>
        <v>181</v>
      </c>
      <c r="D65" s="176" t="e">
        <f ca="1">COUNTIF('One year follow-up_inperson'!#REF!,C65)</f>
        <v>#REF!</v>
      </c>
      <c r="E65" s="327" t="s">
        <v>3</v>
      </c>
      <c r="F65" s="180" t="s">
        <v>31</v>
      </c>
      <c r="G65" s="180" t="s">
        <v>3</v>
      </c>
      <c r="H65" s="178" t="e">
        <f ca="1">D65='One year follow-up_inperson'!#REF!</f>
        <v>#REF!</v>
      </c>
      <c r="I65" s="143"/>
      <c r="J65" s="133" t="e">
        <f>'One year follow-up_inperson'!#REF!</f>
        <v>#REF!</v>
      </c>
      <c r="K65" s="61" t="str">
        <f ca="1">IFERROR(__xludf.DUMMYFUNCTION("""COMPUTED_VALUE"""),"181")</f>
        <v>181</v>
      </c>
      <c r="L65" s="179">
        <f ca="1">COUNTIFS('One year follow-up_inperson'!$B$23:$B$2159,K65,'One year follow-up_inperson'!$R$23:$R$2159,"Yes")</f>
        <v>0</v>
      </c>
      <c r="M65" s="327" t="s">
        <v>3</v>
      </c>
      <c r="N65" s="180" t="s">
        <v>31</v>
      </c>
      <c r="O65" s="180" t="s">
        <v>3</v>
      </c>
      <c r="P65" s="133"/>
      <c r="Q65" s="133" t="e">
        <f>'One year follow-up_inperson'!#REF!</f>
        <v>#REF!</v>
      </c>
      <c r="R65" s="61" t="str">
        <f ca="1">IFERROR(__xludf.DUMMYFUNCTION("""COMPUTED_VALUE"""),"181")</f>
        <v>181</v>
      </c>
      <c r="S65" s="133" t="e">
        <f ca="1">COUNTIFS('One year follow-up_inperson'!#REF!,R65,'One year follow-up_inperson'!#REF!,"No")</f>
        <v>#REF!</v>
      </c>
      <c r="T65" s="327" t="s">
        <v>3</v>
      </c>
      <c r="U65" s="180" t="s">
        <v>31</v>
      </c>
      <c r="V65" s="182" t="s">
        <v>3</v>
      </c>
    </row>
    <row r="66" spans="1:22" ht="14.4">
      <c r="A66" s="170"/>
      <c r="B66" s="133" t="e">
        <f>'One year follow-up_inperson'!#REF!</f>
        <v>#REF!</v>
      </c>
      <c r="C66" s="176" t="str">
        <f ca="1">IFERROR(__xludf.DUMMYFUNCTION("""COMPUTED_VALUE"""),"185")</f>
        <v>185</v>
      </c>
      <c r="D66" s="176">
        <f ca="1">COUNTIF('One year follow-up_inperson'!$B$23:$B$1499,C66)</f>
        <v>0</v>
      </c>
      <c r="E66" s="327" t="s">
        <v>3</v>
      </c>
      <c r="F66" s="180" t="s">
        <v>31</v>
      </c>
      <c r="G66" s="180" t="s">
        <v>3</v>
      </c>
      <c r="H66" s="178" t="e">
        <f ca="1">D66='One year follow-up_inperson'!#REF!</f>
        <v>#REF!</v>
      </c>
      <c r="I66" s="143"/>
      <c r="J66" s="133" t="e">
        <f>'One year follow-up_inperson'!#REF!</f>
        <v>#REF!</v>
      </c>
      <c r="K66" s="61" t="str">
        <f ca="1">IFERROR(__xludf.DUMMYFUNCTION("""COMPUTED_VALUE"""),"185")</f>
        <v>185</v>
      </c>
      <c r="L66" s="179">
        <f ca="1">COUNTIFS('One year follow-up_inperson'!$B$23:$B$2159,K66,'One year follow-up_inperson'!$R$23:$R$2159,"Yes")</f>
        <v>0</v>
      </c>
      <c r="M66" s="327" t="s">
        <v>3</v>
      </c>
      <c r="N66" s="180" t="s">
        <v>31</v>
      </c>
      <c r="O66" s="180" t="s">
        <v>3</v>
      </c>
      <c r="P66" s="133"/>
      <c r="Q66" s="133" t="e">
        <f>'One year follow-up_inperson'!#REF!</f>
        <v>#REF!</v>
      </c>
      <c r="R66" s="61" t="str">
        <f ca="1">IFERROR(__xludf.DUMMYFUNCTION("""COMPUTED_VALUE"""),"185")</f>
        <v>185</v>
      </c>
      <c r="S66" s="133" t="e">
        <f ca="1">COUNTIFS('One year follow-up_inperson'!#REF!,R66,'One year follow-up_inperson'!#REF!,"No")</f>
        <v>#REF!</v>
      </c>
      <c r="T66" s="327" t="s">
        <v>3</v>
      </c>
      <c r="U66" s="180" t="s">
        <v>31</v>
      </c>
      <c r="V66" s="182" t="s">
        <v>3</v>
      </c>
    </row>
    <row r="67" spans="1:22" ht="14.4">
      <c r="A67" s="170"/>
      <c r="B67" s="133" t="e">
        <f>'One year follow-up_inperson'!#REF!</f>
        <v>#REF!</v>
      </c>
      <c r="C67" s="176" t="str">
        <f ca="1">IFERROR(__xludf.DUMMYFUNCTION("""COMPUTED_VALUE"""),"191")</f>
        <v>191</v>
      </c>
      <c r="D67" s="176">
        <f ca="1">COUNTIF('One year follow-up_inperson'!$B$23:$B$1499,C67)</f>
        <v>0</v>
      </c>
      <c r="E67" s="327" t="s">
        <v>3</v>
      </c>
      <c r="F67" s="180" t="s">
        <v>31</v>
      </c>
      <c r="G67" s="180" t="s">
        <v>3</v>
      </c>
      <c r="H67" s="178" t="e">
        <f ca="1">D67='One year follow-up_inperson'!#REF!</f>
        <v>#REF!</v>
      </c>
      <c r="I67" s="143"/>
      <c r="J67" s="133" t="e">
        <f>'One year follow-up_inperson'!#REF!</f>
        <v>#REF!</v>
      </c>
      <c r="K67" s="61" t="str">
        <f ca="1">IFERROR(__xludf.DUMMYFUNCTION("""COMPUTED_VALUE"""),"191")</f>
        <v>191</v>
      </c>
      <c r="L67" s="179">
        <f ca="1">COUNTIFS('One year follow-up_inperson'!$B$23:$B$2159,K67,'One year follow-up_inperson'!$R$23:$R$2159,"Yes")</f>
        <v>0</v>
      </c>
      <c r="M67" s="327" t="s">
        <v>3</v>
      </c>
      <c r="N67" s="180" t="s">
        <v>31</v>
      </c>
      <c r="O67" s="180" t="s">
        <v>3</v>
      </c>
      <c r="P67" s="133"/>
      <c r="Q67" s="133" t="e">
        <f>'One year follow-up_inperson'!#REF!</f>
        <v>#REF!</v>
      </c>
      <c r="R67" s="61" t="str">
        <f ca="1">IFERROR(__xludf.DUMMYFUNCTION("""COMPUTED_VALUE"""),"191")</f>
        <v>191</v>
      </c>
      <c r="S67" s="133" t="e">
        <f ca="1">COUNTIFS('One year follow-up_inperson'!#REF!,R67,'One year follow-up_inperson'!#REF!,"No")</f>
        <v>#REF!</v>
      </c>
      <c r="T67" s="327" t="s">
        <v>3</v>
      </c>
      <c r="U67" s="180" t="s">
        <v>31</v>
      </c>
      <c r="V67" s="182" t="s">
        <v>3</v>
      </c>
    </row>
    <row r="68" spans="1:22" ht="14.4">
      <c r="A68" s="170"/>
      <c r="B68" s="133" t="e">
        <f>'One year follow-up_inperson'!#REF!</f>
        <v>#REF!</v>
      </c>
      <c r="C68" s="176" t="str">
        <f ca="1">IFERROR(__xludf.DUMMYFUNCTION("""COMPUTED_VALUE"""),"193")</f>
        <v>193</v>
      </c>
      <c r="D68" s="176">
        <f ca="1">COUNTIF('One year follow-up_inperson'!$B$23:$B$1499,C68)</f>
        <v>0</v>
      </c>
      <c r="E68" s="180" t="s">
        <v>31</v>
      </c>
      <c r="F68" s="180" t="s">
        <v>5</v>
      </c>
      <c r="G68" s="180" t="s">
        <v>3</v>
      </c>
      <c r="H68" s="178" t="e">
        <f ca="1">D68='One year follow-up_inperson'!#REF!</f>
        <v>#REF!</v>
      </c>
      <c r="I68" s="143"/>
      <c r="J68" s="133" t="e">
        <f>'One year follow-up_inperson'!#REF!</f>
        <v>#REF!</v>
      </c>
      <c r="K68" s="61" t="str">
        <f ca="1">IFERROR(__xludf.DUMMYFUNCTION("""COMPUTED_VALUE"""),"193")</f>
        <v>193</v>
      </c>
      <c r="L68" s="179">
        <f ca="1">COUNTIFS('One year follow-up_inperson'!$B$23:$B$2159,K68,'One year follow-up_inperson'!$R$23:$R$2159,"Yes")</f>
        <v>0</v>
      </c>
      <c r="M68" s="180" t="s">
        <v>31</v>
      </c>
      <c r="N68" s="180" t="s">
        <v>5</v>
      </c>
      <c r="O68" s="180" t="s">
        <v>3</v>
      </c>
      <c r="P68" s="133"/>
      <c r="Q68" s="133" t="e">
        <f>'One year follow-up_inperson'!#REF!</f>
        <v>#REF!</v>
      </c>
      <c r="R68" s="61" t="str">
        <f ca="1">IFERROR(__xludf.DUMMYFUNCTION("""COMPUTED_VALUE"""),"186")</f>
        <v>186</v>
      </c>
      <c r="S68" s="133" t="e">
        <f ca="1">COUNTIFS('One year follow-up_inperson'!#REF!,R68,'One year follow-up_inperson'!#REF!,"No")</f>
        <v>#REF!</v>
      </c>
      <c r="T68" s="327" t="s">
        <v>3</v>
      </c>
      <c r="U68" s="180" t="s">
        <v>5</v>
      </c>
      <c r="V68" s="182" t="s">
        <v>3</v>
      </c>
    </row>
    <row r="69" spans="1:22" ht="14.4">
      <c r="A69" s="170"/>
      <c r="B69" s="133" t="e">
        <f>'One year follow-up_inperson'!#REF!</f>
        <v>#REF!</v>
      </c>
      <c r="C69" s="176" t="str">
        <f ca="1">IFERROR(__xludf.DUMMYFUNCTION("""COMPUTED_VALUE"""),"153")</f>
        <v>153</v>
      </c>
      <c r="D69" s="176">
        <f ca="1">COUNTIF('One year follow-up_inperson'!$B$23:$B$1499,C69)</f>
        <v>0</v>
      </c>
      <c r="E69" s="180" t="s">
        <v>3</v>
      </c>
      <c r="F69" s="180" t="s">
        <v>31</v>
      </c>
      <c r="G69" s="180" t="s">
        <v>3</v>
      </c>
      <c r="H69" s="178" t="e">
        <f ca="1">D69='One year follow-up_inperson'!#REF!</f>
        <v>#REF!</v>
      </c>
      <c r="I69" s="143"/>
      <c r="J69" s="133" t="e">
        <f>'One year follow-up_inperson'!#REF!</f>
        <v>#REF!</v>
      </c>
      <c r="K69" s="61" t="str">
        <f ca="1">IFERROR(__xludf.DUMMYFUNCTION("""COMPUTED_VALUE"""),"153")</f>
        <v>153</v>
      </c>
      <c r="L69" s="179">
        <f ca="1">COUNTIFS('One year follow-up_inperson'!$B$23:$B$2159,K69,'One year follow-up_inperson'!$R$23:$R$2159,"Yes")</f>
        <v>0</v>
      </c>
      <c r="M69" s="180" t="s">
        <v>3</v>
      </c>
      <c r="N69" s="180" t="s">
        <v>31</v>
      </c>
      <c r="O69" s="180" t="s">
        <v>3</v>
      </c>
      <c r="P69" s="133"/>
      <c r="Q69" s="133" t="e">
        <f>'One year follow-up_inperson'!#REF!</f>
        <v>#REF!</v>
      </c>
      <c r="R69" s="61" t="str">
        <f ca="1">IFERROR(__xludf.DUMMYFUNCTION("""COMPUTED_VALUE"""),"186")</f>
        <v>186</v>
      </c>
      <c r="S69" s="133" t="e">
        <f ca="1">COUNTIFS('One year follow-up_inperson'!#REF!,R69,'One year follow-up_inperson'!#REF!,"No")</f>
        <v>#REF!</v>
      </c>
      <c r="T69" s="180" t="s">
        <v>31</v>
      </c>
      <c r="U69" s="180" t="s">
        <v>31</v>
      </c>
      <c r="V69" s="182" t="s">
        <v>3</v>
      </c>
    </row>
    <row r="70" spans="1:22" ht="14.4">
      <c r="A70" s="170"/>
      <c r="B70" s="133"/>
      <c r="C70" s="176"/>
      <c r="D70" s="176"/>
      <c r="E70" s="180"/>
      <c r="F70" s="180"/>
      <c r="G70" s="180"/>
      <c r="H70" s="178"/>
      <c r="I70" s="143"/>
      <c r="J70" s="133"/>
      <c r="K70" s="61"/>
      <c r="L70" s="186"/>
      <c r="M70" s="180"/>
      <c r="N70" s="180"/>
      <c r="O70" s="180"/>
      <c r="P70" s="133"/>
      <c r="Q70" s="133"/>
      <c r="R70" s="61"/>
      <c r="S70" s="133"/>
      <c r="T70" s="180"/>
      <c r="U70" s="180"/>
      <c r="V70" s="182"/>
    </row>
    <row r="71" spans="1:22" ht="14.4">
      <c r="A71" s="170"/>
      <c r="B71" s="133"/>
      <c r="C71" s="176"/>
      <c r="D71" s="176"/>
      <c r="E71" s="180"/>
      <c r="F71" s="180"/>
      <c r="G71" s="180"/>
      <c r="H71" s="178"/>
      <c r="I71" s="143"/>
      <c r="J71" s="133"/>
      <c r="K71" s="61"/>
      <c r="L71" s="186"/>
      <c r="M71" s="180"/>
      <c r="N71" s="180"/>
      <c r="O71" s="180"/>
      <c r="P71" s="133"/>
      <c r="Q71" s="133"/>
      <c r="R71" s="61"/>
      <c r="S71" s="133"/>
      <c r="T71" s="180"/>
      <c r="U71" s="180"/>
      <c r="V71" s="182"/>
    </row>
    <row r="72" spans="1:22" ht="14.4">
      <c r="A72" s="170"/>
      <c r="B72" s="133"/>
      <c r="C72" s="176"/>
      <c r="D72" s="181"/>
      <c r="E72" s="180"/>
      <c r="F72" s="180"/>
      <c r="G72" s="180"/>
      <c r="H72" s="187"/>
      <c r="I72" s="143"/>
      <c r="J72" s="133"/>
      <c r="K72" s="61"/>
      <c r="L72" s="186"/>
      <c r="M72" s="180"/>
      <c r="N72" s="180"/>
      <c r="O72" s="180"/>
      <c r="P72" s="133"/>
      <c r="Q72" s="133"/>
      <c r="R72" s="61"/>
      <c r="S72" s="133"/>
      <c r="T72" s="180"/>
      <c r="U72" s="180"/>
      <c r="V72" s="182"/>
    </row>
    <row r="73" spans="1:22" ht="15" thickBot="1">
      <c r="A73" s="170"/>
      <c r="B73" s="133"/>
      <c r="C73" s="176"/>
      <c r="D73" s="181"/>
      <c r="E73" s="180"/>
      <c r="F73" s="180"/>
      <c r="G73" s="180"/>
      <c r="H73" s="187"/>
      <c r="I73" s="143"/>
      <c r="J73" s="133"/>
      <c r="K73" s="61"/>
      <c r="L73" s="186"/>
      <c r="M73" s="180"/>
      <c r="N73" s="180"/>
      <c r="O73" s="180"/>
      <c r="P73" s="133"/>
      <c r="Q73" s="133"/>
      <c r="R73" s="61"/>
      <c r="S73" s="133"/>
      <c r="T73" s="180"/>
      <c r="U73" s="180"/>
      <c r="V73" s="182"/>
    </row>
    <row r="74" spans="1:22" ht="15" thickBot="1">
      <c r="A74" s="188"/>
      <c r="B74" s="189" t="s">
        <v>60</v>
      </c>
      <c r="C74" s="190"/>
      <c r="D74" s="235" t="e">
        <f ca="1">SUM(D47:D69)</f>
        <v>#REF!</v>
      </c>
      <c r="E74" s="192" t="e">
        <f ca="1">SUMIF(E47:E69, "Yes", $D$47:$D$69)</f>
        <v>#REF!</v>
      </c>
      <c r="F74" s="192" t="e">
        <f ca="1">SUMIF(F47:F72, "Yes", $D$47:$D$72)</f>
        <v>#REF!</v>
      </c>
      <c r="G74" s="192" t="e">
        <f t="shared" ref="G74" ca="1" si="11">SUMIF(G47:G64, "Yes", $D$47:$D$64)</f>
        <v>#REF!</v>
      </c>
      <c r="H74" s="193"/>
      <c r="I74" s="193"/>
      <c r="J74" s="189" t="s">
        <v>60</v>
      </c>
      <c r="K74" s="190"/>
      <c r="L74" s="191" t="e">
        <f ca="1">SUM(L47:L69)</f>
        <v>#REF!</v>
      </c>
      <c r="M74" s="192" t="e">
        <f ca="1">SUMIF(M47:M69, "Yes", $L$47:$L$69)</f>
        <v>#REF!</v>
      </c>
      <c r="N74" s="192" t="e">
        <f ca="1">SUMIF(N47:N69, "Yes", $L$47:$L$69)</f>
        <v>#REF!</v>
      </c>
      <c r="O74" s="192" t="e">
        <f ca="1">SUMIF(O47:O69, "Yes", $L$47:$L$69)</f>
        <v>#REF!</v>
      </c>
      <c r="P74" s="193"/>
      <c r="Q74" s="189" t="s">
        <v>60</v>
      </c>
      <c r="R74" s="190"/>
      <c r="S74" s="191" t="e">
        <f ca="1">SUM(S47:S64)</f>
        <v>#REF!</v>
      </c>
      <c r="T74" s="192" t="e">
        <f t="shared" ref="T74:V74" ca="1" si="12">SUMIF(T47:T64, "Yes", $L$47:$L$64)</f>
        <v>#REF!</v>
      </c>
      <c r="U74" s="192" t="e">
        <f t="shared" ca="1" si="12"/>
        <v>#REF!</v>
      </c>
      <c r="V74" s="194" t="e">
        <f t="shared" ca="1" si="12"/>
        <v>#REF!</v>
      </c>
    </row>
    <row r="75" spans="1:22" ht="14.4">
      <c r="D75" s="140" t="e">
        <f ca="1">D74='One year follow-up_inperson'!H19</f>
        <v>#REF!</v>
      </c>
      <c r="J75" s="2"/>
      <c r="K75" s="2"/>
      <c r="L75" s="54"/>
      <c r="M75" s="55"/>
      <c r="N75" s="55"/>
    </row>
    <row r="76" spans="1:22" ht="14.4">
      <c r="G76" s="49"/>
      <c r="H76" s="49"/>
      <c r="I76" s="49"/>
      <c r="J76" s="6"/>
      <c r="K76" s="6"/>
      <c r="L76" s="6"/>
    </row>
    <row r="77" spans="1:22" ht="14.4">
      <c r="J77" s="6"/>
      <c r="K77" s="6"/>
      <c r="L77" s="6"/>
    </row>
    <row r="78" spans="1:22" ht="14.4">
      <c r="J78" s="6"/>
      <c r="K78" s="6"/>
      <c r="L78" s="6"/>
    </row>
    <row r="79" spans="1:22" ht="14.4">
      <c r="J79" s="6"/>
      <c r="K79" s="6"/>
      <c r="L79" s="6"/>
    </row>
    <row r="80" spans="1:22" ht="14.4">
      <c r="J80" s="6"/>
      <c r="K80" s="6"/>
      <c r="L80" s="6"/>
    </row>
    <row r="81" spans="10:12" ht="14.4">
      <c r="J81" s="6"/>
      <c r="K81" s="6"/>
      <c r="L81" s="6"/>
    </row>
    <row r="82" spans="10:12" ht="14.4">
      <c r="J82" s="6"/>
      <c r="K82" s="6"/>
      <c r="L82" s="6"/>
    </row>
    <row r="83" spans="10:12" ht="14.4">
      <c r="J83" s="6"/>
      <c r="K83" s="6"/>
      <c r="L83" s="6"/>
    </row>
    <row r="84" spans="10:12" ht="14.4">
      <c r="J84" s="6"/>
      <c r="K84" s="6"/>
      <c r="L84" s="6"/>
    </row>
    <row r="85" spans="10:12" ht="14.4">
      <c r="J85" s="6"/>
      <c r="K85" s="6"/>
      <c r="L85" s="6"/>
    </row>
    <row r="86" spans="10:12" ht="14.4">
      <c r="J86" s="6"/>
      <c r="K86" s="6"/>
      <c r="L86" s="6"/>
    </row>
    <row r="87" spans="10:12" ht="14.4">
      <c r="J87" s="6"/>
      <c r="K87" s="6"/>
      <c r="L87" s="6"/>
    </row>
    <row r="88" spans="10:12" ht="14.4">
      <c r="J88" s="6"/>
      <c r="K88" s="6"/>
      <c r="L88" s="6"/>
    </row>
    <row r="89" spans="10:12" ht="14.4">
      <c r="J89" s="6"/>
      <c r="K89" s="6"/>
      <c r="L89" s="6"/>
    </row>
    <row r="90" spans="10:12" ht="14.4">
      <c r="J90" s="6"/>
      <c r="K90" s="6"/>
      <c r="L90" s="6"/>
    </row>
    <row r="91" spans="10:12" ht="14.4">
      <c r="J91" s="6"/>
      <c r="K91" s="6"/>
      <c r="L91" s="6"/>
    </row>
    <row r="92" spans="10:12" ht="14.4">
      <c r="J92" s="6"/>
      <c r="K92" s="6"/>
      <c r="L92" s="6"/>
    </row>
    <row r="93" spans="10:12" ht="14.4">
      <c r="J93" s="6"/>
      <c r="K93" s="6"/>
      <c r="L93" s="6"/>
    </row>
    <row r="94" spans="10:12" ht="14.4">
      <c r="J94" s="6"/>
      <c r="K94" s="6"/>
      <c r="L94" s="6"/>
    </row>
    <row r="95" spans="10:12" ht="14.4">
      <c r="J95" s="6"/>
      <c r="K95" s="6"/>
      <c r="L95" s="6"/>
    </row>
    <row r="96" spans="10:12" ht="14.4">
      <c r="J96" s="6"/>
      <c r="K96" s="6"/>
      <c r="L96" s="6"/>
    </row>
    <row r="97" spans="10:12" ht="14.4">
      <c r="J97" s="6"/>
      <c r="K97" s="6"/>
      <c r="L97" s="6"/>
    </row>
    <row r="98" spans="10:12" ht="14.4">
      <c r="J98" s="6"/>
      <c r="K98" s="6"/>
      <c r="L98" s="6"/>
    </row>
    <row r="99" spans="10:12" ht="14.4">
      <c r="J99" s="6"/>
      <c r="K99" s="6"/>
      <c r="L99" s="6"/>
    </row>
    <row r="100" spans="10:12" ht="14.4">
      <c r="J100" s="6"/>
      <c r="K100" s="6"/>
      <c r="L100" s="6"/>
    </row>
    <row r="101" spans="10:12" ht="14.4">
      <c r="J101" s="6"/>
      <c r="K101" s="6"/>
      <c r="L101" s="6"/>
    </row>
    <row r="102" spans="10:12" ht="14.4">
      <c r="J102" s="6"/>
      <c r="K102" s="6"/>
      <c r="L102" s="6"/>
    </row>
    <row r="103" spans="10:12" ht="14.4">
      <c r="J103" s="6"/>
      <c r="K103" s="6"/>
      <c r="L103" s="6"/>
    </row>
    <row r="104" spans="10:12" ht="14.4">
      <c r="J104" s="6"/>
      <c r="K104" s="6"/>
      <c r="L104" s="6"/>
    </row>
    <row r="105" spans="10:12" ht="14.4">
      <c r="J105" s="6"/>
      <c r="K105" s="6"/>
      <c r="L105" s="6"/>
    </row>
    <row r="106" spans="10:12" ht="14.4">
      <c r="J106" s="6"/>
      <c r="K106" s="6"/>
      <c r="L106" s="6"/>
    </row>
    <row r="107" spans="10:12" ht="14.4">
      <c r="J107" s="6"/>
      <c r="K107" s="6"/>
      <c r="L107" s="6"/>
    </row>
    <row r="108" spans="10:12" ht="14.4">
      <c r="J108" s="6"/>
      <c r="K108" s="6"/>
      <c r="L108" s="6"/>
    </row>
    <row r="109" spans="10:12" ht="14.4">
      <c r="J109" s="6"/>
      <c r="K109" s="6"/>
      <c r="L109" s="6"/>
    </row>
    <row r="110" spans="10:12" ht="14.4">
      <c r="J110" s="6"/>
      <c r="K110" s="6"/>
      <c r="L110" s="6"/>
    </row>
    <row r="111" spans="10:12" ht="14.4">
      <c r="J111" s="6"/>
      <c r="K111" s="6"/>
      <c r="L111" s="6"/>
    </row>
    <row r="112" spans="10:12" ht="14.4">
      <c r="J112" s="6"/>
      <c r="K112" s="6"/>
      <c r="L112" s="6"/>
    </row>
    <row r="113" spans="10:12" ht="14.4">
      <c r="J113" s="6"/>
      <c r="K113" s="6"/>
      <c r="L113" s="6"/>
    </row>
    <row r="114" spans="10:12" ht="14.4">
      <c r="J114" s="6"/>
      <c r="K114" s="6"/>
      <c r="L114" s="6"/>
    </row>
    <row r="115" spans="10:12" ht="14.4">
      <c r="J115" s="6"/>
      <c r="K115" s="6"/>
      <c r="L115" s="6"/>
    </row>
    <row r="116" spans="10:12" ht="14.4">
      <c r="J116" s="6"/>
      <c r="K116" s="6"/>
      <c r="L116" s="6"/>
    </row>
    <row r="117" spans="10:12" ht="14.4">
      <c r="J117" s="6"/>
      <c r="K117" s="6"/>
      <c r="L117" s="6"/>
    </row>
    <row r="118" spans="10:12" ht="14.4">
      <c r="J118" s="6"/>
      <c r="K118" s="6"/>
      <c r="L118" s="6"/>
    </row>
    <row r="119" spans="10:12" ht="14.4">
      <c r="J119" s="6"/>
      <c r="K119" s="6"/>
      <c r="L119" s="6"/>
    </row>
    <row r="120" spans="10:12" ht="14.4">
      <c r="J120" s="6"/>
      <c r="K120" s="6"/>
      <c r="L120" s="6"/>
    </row>
    <row r="121" spans="10:12" ht="14.4">
      <c r="J121" s="6"/>
      <c r="K121" s="6"/>
      <c r="L121" s="6"/>
    </row>
    <row r="122" spans="10:12" ht="14.4">
      <c r="J122" s="6"/>
      <c r="K122" s="6"/>
      <c r="L122" s="6"/>
    </row>
    <row r="123" spans="10:12" ht="14.4">
      <c r="J123" s="6"/>
      <c r="K123" s="6"/>
      <c r="L123" s="6"/>
    </row>
    <row r="124" spans="10:12" ht="14.4">
      <c r="J124" s="6"/>
      <c r="K124" s="6"/>
      <c r="L124" s="6"/>
    </row>
    <row r="125" spans="10:12" ht="14.4">
      <c r="J125" s="6"/>
      <c r="K125" s="6"/>
      <c r="L125" s="6"/>
    </row>
    <row r="126" spans="10:12" ht="14.4">
      <c r="J126" s="6"/>
      <c r="K126" s="6"/>
      <c r="L126" s="6"/>
    </row>
    <row r="127" spans="10:12" ht="14.4">
      <c r="J127" s="6"/>
      <c r="K127" s="6"/>
      <c r="L127" s="6"/>
    </row>
    <row r="128" spans="10:12" ht="14.4">
      <c r="J128" s="6"/>
      <c r="K128" s="6"/>
      <c r="L128" s="6"/>
    </row>
    <row r="129" spans="10:12" ht="14.4">
      <c r="J129" s="6"/>
      <c r="K129" s="6"/>
      <c r="L129" s="6"/>
    </row>
    <row r="130" spans="10:12" ht="14.4">
      <c r="J130" s="6"/>
      <c r="K130" s="6"/>
      <c r="L130" s="6"/>
    </row>
    <row r="131" spans="10:12" ht="14.4">
      <c r="J131" s="6"/>
      <c r="K131" s="6"/>
      <c r="L131" s="6"/>
    </row>
    <row r="132" spans="10:12" ht="14.4">
      <c r="J132" s="6"/>
      <c r="K132" s="6"/>
      <c r="L132" s="6"/>
    </row>
    <row r="133" spans="10:12" ht="14.4">
      <c r="J133" s="6"/>
      <c r="K133" s="6"/>
      <c r="L133" s="6"/>
    </row>
    <row r="134" spans="10:12" ht="14.4">
      <c r="J134" s="6"/>
      <c r="K134" s="6"/>
      <c r="L134" s="6"/>
    </row>
    <row r="135" spans="10:12" ht="14.4">
      <c r="J135" s="6"/>
      <c r="K135" s="6"/>
      <c r="L135" s="6"/>
    </row>
    <row r="136" spans="10:12" ht="14.4">
      <c r="J136" s="6"/>
      <c r="K136" s="6"/>
      <c r="L136" s="6"/>
    </row>
    <row r="137" spans="10:12" ht="14.4">
      <c r="J137" s="6"/>
      <c r="K137" s="6"/>
      <c r="L137" s="6"/>
    </row>
    <row r="138" spans="10:12" ht="14.4">
      <c r="J138" s="6"/>
      <c r="K138" s="6"/>
      <c r="L138" s="6"/>
    </row>
    <row r="139" spans="10:12" ht="14.4">
      <c r="J139" s="6"/>
      <c r="K139" s="6"/>
      <c r="L139" s="6"/>
    </row>
    <row r="140" spans="10:12" ht="14.4">
      <c r="J140" s="6"/>
      <c r="K140" s="6"/>
      <c r="L140" s="6"/>
    </row>
    <row r="141" spans="10:12" ht="14.4">
      <c r="J141" s="6"/>
      <c r="K141" s="6"/>
      <c r="L141" s="6"/>
    </row>
    <row r="142" spans="10:12" ht="14.4">
      <c r="J142" s="6"/>
      <c r="K142" s="6"/>
      <c r="L142" s="6"/>
    </row>
    <row r="143" spans="10:12" ht="14.4">
      <c r="J143" s="6"/>
      <c r="K143" s="6"/>
      <c r="L143" s="6"/>
    </row>
    <row r="144" spans="10:12" ht="14.4">
      <c r="J144" s="6"/>
      <c r="K144" s="6"/>
      <c r="L144" s="6"/>
    </row>
    <row r="145" spans="10:12" ht="14.4">
      <c r="J145" s="6"/>
      <c r="K145" s="6"/>
      <c r="L145" s="6"/>
    </row>
    <row r="146" spans="10:12" ht="14.4">
      <c r="J146" s="6"/>
      <c r="K146" s="6"/>
      <c r="L146" s="6"/>
    </row>
    <row r="147" spans="10:12" ht="14.4">
      <c r="J147" s="6"/>
      <c r="K147" s="6"/>
      <c r="L147" s="6"/>
    </row>
    <row r="148" spans="10:12" ht="14.4">
      <c r="J148" s="6"/>
      <c r="K148" s="6"/>
      <c r="L148" s="6"/>
    </row>
    <row r="149" spans="10:12" ht="14.4">
      <c r="J149" s="6"/>
      <c r="K149" s="6"/>
      <c r="L149" s="6"/>
    </row>
    <row r="150" spans="10:12" ht="14.4">
      <c r="J150" s="6"/>
      <c r="K150" s="6"/>
      <c r="L150" s="6"/>
    </row>
    <row r="151" spans="10:12" ht="14.4">
      <c r="J151" s="6"/>
      <c r="K151" s="6"/>
      <c r="L151" s="6"/>
    </row>
    <row r="152" spans="10:12" ht="14.4">
      <c r="J152" s="6"/>
      <c r="K152" s="6"/>
      <c r="L152" s="6"/>
    </row>
    <row r="153" spans="10:12" ht="14.4">
      <c r="J153" s="6"/>
      <c r="K153" s="6"/>
      <c r="L153" s="6"/>
    </row>
    <row r="154" spans="10:12" ht="14.4">
      <c r="J154" s="6"/>
      <c r="K154" s="6"/>
      <c r="L154" s="6"/>
    </row>
    <row r="155" spans="10:12" ht="14.4">
      <c r="J155" s="6"/>
      <c r="K155" s="6"/>
      <c r="L155" s="6"/>
    </row>
    <row r="156" spans="10:12" ht="14.4">
      <c r="J156" s="6"/>
      <c r="K156" s="6"/>
      <c r="L156" s="6"/>
    </row>
    <row r="157" spans="10:12" ht="14.4">
      <c r="J157" s="6"/>
      <c r="K157" s="6"/>
      <c r="L157" s="6"/>
    </row>
    <row r="158" spans="10:12" ht="14.4">
      <c r="J158" s="6"/>
      <c r="K158" s="6"/>
      <c r="L158" s="6"/>
    </row>
    <row r="159" spans="10:12" ht="14.4">
      <c r="J159" s="6"/>
      <c r="K159" s="6"/>
      <c r="L159" s="6"/>
    </row>
    <row r="160" spans="10:12" ht="14.4">
      <c r="J160" s="6"/>
      <c r="K160" s="6"/>
      <c r="L160" s="6"/>
    </row>
    <row r="161" spans="10:12" ht="14.4">
      <c r="J161" s="6"/>
      <c r="K161" s="6"/>
      <c r="L161" s="6"/>
    </row>
    <row r="162" spans="10:12" ht="14.4">
      <c r="J162" s="6"/>
      <c r="K162" s="6"/>
      <c r="L162" s="6"/>
    </row>
    <row r="163" spans="10:12" ht="14.4">
      <c r="J163" s="6"/>
      <c r="K163" s="6"/>
      <c r="L163" s="6"/>
    </row>
    <row r="164" spans="10:12" ht="14.4">
      <c r="J164" s="6"/>
      <c r="K164" s="6"/>
      <c r="L164" s="6"/>
    </row>
    <row r="165" spans="10:12" ht="14.4">
      <c r="J165" s="6"/>
      <c r="K165" s="6"/>
      <c r="L165" s="6"/>
    </row>
    <row r="166" spans="10:12" ht="14.4">
      <c r="J166" s="6"/>
      <c r="K166" s="6"/>
      <c r="L166" s="6"/>
    </row>
    <row r="167" spans="10:12" ht="14.4">
      <c r="J167" s="6"/>
      <c r="K167" s="6"/>
      <c r="L167" s="6"/>
    </row>
    <row r="168" spans="10:12" ht="14.4">
      <c r="J168" s="6"/>
      <c r="K168" s="6"/>
      <c r="L168" s="6"/>
    </row>
    <row r="169" spans="10:12" ht="14.4">
      <c r="J169" s="6"/>
      <c r="K169" s="6"/>
      <c r="L169" s="6"/>
    </row>
    <row r="170" spans="10:12" ht="14.4">
      <c r="J170" s="6"/>
      <c r="K170" s="6"/>
      <c r="L170" s="6"/>
    </row>
    <row r="171" spans="10:12" ht="14.4">
      <c r="J171" s="6"/>
      <c r="K171" s="6"/>
      <c r="L171" s="6"/>
    </row>
    <row r="172" spans="10:12" ht="14.4">
      <c r="J172" s="6"/>
      <c r="K172" s="6"/>
      <c r="L172" s="6"/>
    </row>
    <row r="173" spans="10:12" ht="14.4">
      <c r="J173" s="6"/>
      <c r="K173" s="6"/>
      <c r="L173" s="6"/>
    </row>
    <row r="174" spans="10:12" ht="14.4">
      <c r="J174" s="6"/>
      <c r="K174" s="6"/>
      <c r="L174" s="6"/>
    </row>
    <row r="175" spans="10:12" ht="14.4">
      <c r="J175" s="6"/>
      <c r="K175" s="6"/>
      <c r="L175" s="6"/>
    </row>
    <row r="176" spans="10:12" ht="14.4">
      <c r="J176" s="6"/>
      <c r="K176" s="6"/>
      <c r="L176" s="6"/>
    </row>
    <row r="177" spans="10:12" ht="14.4">
      <c r="J177" s="6"/>
      <c r="K177" s="6"/>
      <c r="L177" s="6"/>
    </row>
    <row r="178" spans="10:12" ht="14.4">
      <c r="J178" s="6"/>
      <c r="K178" s="6"/>
      <c r="L178" s="6"/>
    </row>
    <row r="179" spans="10:12" ht="14.4">
      <c r="J179" s="6"/>
      <c r="K179" s="6"/>
      <c r="L179" s="6"/>
    </row>
    <row r="180" spans="10:12" ht="14.4">
      <c r="J180" s="6"/>
      <c r="K180" s="6"/>
      <c r="L180" s="6"/>
    </row>
    <row r="181" spans="10:12" ht="14.4">
      <c r="J181" s="6"/>
      <c r="K181" s="6"/>
      <c r="L181" s="6"/>
    </row>
    <row r="182" spans="10:12" ht="14.4">
      <c r="J182" s="6"/>
      <c r="K182" s="6"/>
      <c r="L182" s="6"/>
    </row>
    <row r="183" spans="10:12" ht="14.4">
      <c r="J183" s="6"/>
      <c r="K183" s="6"/>
      <c r="L183" s="6"/>
    </row>
    <row r="184" spans="10:12" ht="14.4">
      <c r="J184" s="6"/>
      <c r="K184" s="6"/>
      <c r="L184" s="6"/>
    </row>
    <row r="185" spans="10:12" ht="14.4">
      <c r="J185" s="6"/>
      <c r="K185" s="6"/>
      <c r="L185" s="6"/>
    </row>
    <row r="186" spans="10:12" ht="14.4">
      <c r="J186" s="6"/>
      <c r="K186" s="6"/>
      <c r="L186" s="6"/>
    </row>
    <row r="187" spans="10:12" ht="14.4">
      <c r="J187" s="6"/>
      <c r="K187" s="6"/>
      <c r="L187" s="6"/>
    </row>
    <row r="188" spans="10:12" ht="14.4">
      <c r="J188" s="6"/>
      <c r="K188" s="6"/>
      <c r="L188" s="6"/>
    </row>
    <row r="189" spans="10:12" ht="14.4">
      <c r="J189" s="6"/>
      <c r="K189" s="6"/>
      <c r="L189" s="6"/>
    </row>
    <row r="190" spans="10:12" ht="14.4">
      <c r="J190" s="6"/>
      <c r="K190" s="6"/>
      <c r="L190" s="6"/>
    </row>
    <row r="191" spans="10:12" ht="14.4">
      <c r="J191" s="6"/>
      <c r="K191" s="6"/>
      <c r="L191" s="6"/>
    </row>
    <row r="192" spans="10:12" ht="14.4">
      <c r="J192" s="6"/>
      <c r="K192" s="6"/>
      <c r="L192" s="6"/>
    </row>
    <row r="193" spans="10:12" ht="14.4">
      <c r="J193" s="6"/>
      <c r="K193" s="6"/>
      <c r="L193" s="6"/>
    </row>
    <row r="194" spans="10:12" ht="14.4">
      <c r="J194" s="6"/>
      <c r="K194" s="6"/>
      <c r="L194" s="6"/>
    </row>
    <row r="195" spans="10:12" ht="14.4">
      <c r="J195" s="6"/>
      <c r="K195" s="6"/>
      <c r="L195" s="6"/>
    </row>
    <row r="196" spans="10:12" ht="14.4">
      <c r="J196" s="6"/>
      <c r="K196" s="6"/>
      <c r="L196" s="6"/>
    </row>
    <row r="197" spans="10:12" ht="14.4">
      <c r="J197" s="6"/>
      <c r="K197" s="6"/>
      <c r="L197" s="6"/>
    </row>
    <row r="198" spans="10:12" ht="14.4">
      <c r="J198" s="6"/>
      <c r="K198" s="6"/>
      <c r="L198" s="6"/>
    </row>
    <row r="199" spans="10:12" ht="14.4">
      <c r="J199" s="6"/>
      <c r="K199" s="6"/>
      <c r="L199" s="6"/>
    </row>
    <row r="200" spans="10:12" ht="14.4">
      <c r="J200" s="6"/>
      <c r="K200" s="6"/>
      <c r="L200" s="6"/>
    </row>
    <row r="201" spans="10:12" ht="14.4">
      <c r="J201" s="6"/>
      <c r="K201" s="6"/>
      <c r="L201" s="6"/>
    </row>
    <row r="202" spans="10:12" ht="14.4">
      <c r="J202" s="6"/>
      <c r="K202" s="6"/>
      <c r="L202" s="6"/>
    </row>
    <row r="203" spans="10:12" ht="14.4">
      <c r="J203" s="6"/>
      <c r="K203" s="6"/>
      <c r="L203" s="6"/>
    </row>
    <row r="204" spans="10:12" ht="14.4">
      <c r="J204" s="6"/>
      <c r="K204" s="6"/>
      <c r="L204" s="6"/>
    </row>
    <row r="205" spans="10:12" ht="14.4">
      <c r="J205" s="6"/>
      <c r="K205" s="6"/>
      <c r="L205" s="6"/>
    </row>
    <row r="206" spans="10:12" ht="14.4">
      <c r="J206" s="6"/>
      <c r="K206" s="6"/>
      <c r="L206" s="6"/>
    </row>
    <row r="207" spans="10:12" ht="14.4">
      <c r="J207" s="6"/>
      <c r="K207" s="6"/>
      <c r="L207" s="6"/>
    </row>
    <row r="208" spans="10:12" ht="14.4">
      <c r="J208" s="6"/>
      <c r="K208" s="6"/>
      <c r="L208" s="6"/>
    </row>
    <row r="209" spans="10:12" ht="14.4">
      <c r="J209" s="6"/>
      <c r="K209" s="6"/>
      <c r="L209" s="6"/>
    </row>
    <row r="210" spans="10:12" ht="14.4">
      <c r="J210" s="6"/>
      <c r="K210" s="6"/>
      <c r="L210" s="6"/>
    </row>
    <row r="211" spans="10:12" ht="14.4">
      <c r="J211" s="6"/>
      <c r="K211" s="6"/>
      <c r="L211" s="6"/>
    </row>
    <row r="212" spans="10:12" ht="14.4">
      <c r="J212" s="6"/>
      <c r="K212" s="6"/>
      <c r="L212" s="6"/>
    </row>
    <row r="213" spans="10:12" ht="14.4">
      <c r="J213" s="6"/>
      <c r="K213" s="6"/>
      <c r="L213" s="6"/>
    </row>
    <row r="214" spans="10:12" ht="14.4">
      <c r="J214" s="6"/>
      <c r="K214" s="6"/>
      <c r="L214" s="6"/>
    </row>
    <row r="215" spans="10:12" ht="14.4">
      <c r="J215" s="6"/>
      <c r="K215" s="6"/>
      <c r="L215" s="6"/>
    </row>
    <row r="216" spans="10:12" ht="14.4">
      <c r="J216" s="6"/>
      <c r="K216" s="6"/>
      <c r="L216" s="6"/>
    </row>
    <row r="217" spans="10:12" ht="14.4">
      <c r="J217" s="6"/>
      <c r="K217" s="6"/>
      <c r="L217" s="6"/>
    </row>
    <row r="218" spans="10:12" ht="14.4">
      <c r="J218" s="6"/>
      <c r="K218" s="6"/>
      <c r="L218" s="6"/>
    </row>
    <row r="219" spans="10:12" ht="14.4">
      <c r="J219" s="6"/>
      <c r="K219" s="6"/>
      <c r="L219" s="6"/>
    </row>
    <row r="220" spans="10:12" ht="14.4">
      <c r="J220" s="6"/>
      <c r="K220" s="6"/>
      <c r="L220" s="6"/>
    </row>
    <row r="221" spans="10:12" ht="14.4">
      <c r="J221" s="6"/>
      <c r="K221" s="6"/>
      <c r="L221" s="6"/>
    </row>
    <row r="222" spans="10:12" ht="14.4">
      <c r="J222" s="6"/>
      <c r="K222" s="6"/>
      <c r="L222" s="6"/>
    </row>
    <row r="223" spans="10:12" ht="14.4">
      <c r="J223" s="6"/>
      <c r="K223" s="6"/>
      <c r="L223" s="6"/>
    </row>
    <row r="224" spans="10:12" ht="14.4">
      <c r="J224" s="6"/>
      <c r="K224" s="6"/>
      <c r="L224" s="6"/>
    </row>
    <row r="225" spans="10:12" ht="14.4">
      <c r="J225" s="6"/>
      <c r="K225" s="6"/>
      <c r="L225" s="6"/>
    </row>
    <row r="226" spans="10:12" ht="14.4">
      <c r="J226" s="6"/>
      <c r="K226" s="6"/>
      <c r="L226" s="6"/>
    </row>
    <row r="227" spans="10:12" ht="14.4">
      <c r="J227" s="6"/>
      <c r="K227" s="6"/>
      <c r="L227" s="6"/>
    </row>
    <row r="228" spans="10:12" ht="14.4">
      <c r="J228" s="6"/>
      <c r="K228" s="6"/>
      <c r="L228" s="6"/>
    </row>
    <row r="229" spans="10:12" ht="14.4">
      <c r="J229" s="6"/>
      <c r="K229" s="6"/>
      <c r="L229" s="6"/>
    </row>
    <row r="230" spans="10:12" ht="14.4">
      <c r="J230" s="6"/>
      <c r="K230" s="6"/>
      <c r="L230" s="6"/>
    </row>
    <row r="231" spans="10:12" ht="14.4">
      <c r="J231" s="6"/>
      <c r="K231" s="6"/>
      <c r="L231" s="6"/>
    </row>
    <row r="232" spans="10:12" ht="14.4">
      <c r="J232" s="6"/>
      <c r="K232" s="6"/>
      <c r="L232" s="6"/>
    </row>
    <row r="233" spans="10:12" ht="14.4">
      <c r="J233" s="6"/>
      <c r="K233" s="6"/>
      <c r="L233" s="6"/>
    </row>
    <row r="234" spans="10:12" ht="14.4">
      <c r="J234" s="6"/>
      <c r="K234" s="6"/>
      <c r="L234" s="6"/>
    </row>
    <row r="235" spans="10:12" ht="14.4">
      <c r="J235" s="6"/>
      <c r="K235" s="6"/>
      <c r="L235" s="6"/>
    </row>
    <row r="236" spans="10:12" ht="14.4">
      <c r="J236" s="6"/>
      <c r="K236" s="6"/>
      <c r="L236" s="6"/>
    </row>
    <row r="237" spans="10:12" ht="14.4">
      <c r="J237" s="6"/>
      <c r="K237" s="6"/>
      <c r="L237" s="6"/>
    </row>
    <row r="238" spans="10:12" ht="14.4">
      <c r="J238" s="6"/>
      <c r="K238" s="6"/>
      <c r="L238" s="6"/>
    </row>
    <row r="239" spans="10:12" ht="14.4">
      <c r="J239" s="6"/>
      <c r="K239" s="6"/>
      <c r="L239" s="6"/>
    </row>
    <row r="240" spans="10:12" ht="14.4">
      <c r="J240" s="6"/>
      <c r="K240" s="6"/>
      <c r="L240" s="6"/>
    </row>
    <row r="241" spans="10:12" ht="14.4">
      <c r="J241" s="6"/>
      <c r="K241" s="6"/>
      <c r="L241" s="6"/>
    </row>
    <row r="242" spans="10:12" ht="14.4">
      <c r="J242" s="6"/>
      <c r="K242" s="6"/>
      <c r="L242" s="6"/>
    </row>
    <row r="243" spans="10:12" ht="14.4">
      <c r="J243" s="6"/>
      <c r="K243" s="6"/>
      <c r="L243" s="6"/>
    </row>
    <row r="244" spans="10:12" ht="14.4">
      <c r="J244" s="6"/>
      <c r="K244" s="6"/>
      <c r="L244" s="6"/>
    </row>
    <row r="245" spans="10:12" ht="14.4">
      <c r="J245" s="6"/>
      <c r="K245" s="6"/>
      <c r="L245" s="6"/>
    </row>
    <row r="246" spans="10:12" ht="14.4">
      <c r="J246" s="6"/>
      <c r="K246" s="6"/>
      <c r="L246" s="6"/>
    </row>
    <row r="247" spans="10:12" ht="14.4">
      <c r="J247" s="6"/>
      <c r="K247" s="6"/>
      <c r="L247" s="6"/>
    </row>
    <row r="248" spans="10:12" ht="14.4">
      <c r="J248" s="6"/>
      <c r="K248" s="6"/>
      <c r="L248" s="6"/>
    </row>
    <row r="249" spans="10:12" ht="14.4">
      <c r="J249" s="6"/>
      <c r="K249" s="6"/>
      <c r="L249" s="6"/>
    </row>
    <row r="250" spans="10:12" ht="14.4">
      <c r="J250" s="6"/>
      <c r="K250" s="6"/>
      <c r="L250" s="6"/>
    </row>
    <row r="251" spans="10:12" ht="14.4">
      <c r="J251" s="6"/>
      <c r="K251" s="6"/>
      <c r="L251" s="6"/>
    </row>
    <row r="252" spans="10:12" ht="14.4">
      <c r="J252" s="6"/>
      <c r="K252" s="6"/>
      <c r="L252" s="6"/>
    </row>
    <row r="253" spans="10:12" ht="14.4">
      <c r="J253" s="6"/>
      <c r="K253" s="6"/>
      <c r="L253" s="6"/>
    </row>
    <row r="254" spans="10:12" ht="14.4">
      <c r="J254" s="6"/>
      <c r="K254" s="6"/>
      <c r="L254" s="6"/>
    </row>
    <row r="255" spans="10:12" ht="14.4">
      <c r="J255" s="6"/>
      <c r="K255" s="6"/>
      <c r="L255" s="6"/>
    </row>
    <row r="256" spans="10:12" ht="14.4">
      <c r="J256" s="6"/>
      <c r="K256" s="6"/>
      <c r="L256" s="6"/>
    </row>
    <row r="257" spans="10:12" ht="14.4">
      <c r="J257" s="6"/>
      <c r="K257" s="6"/>
      <c r="L257" s="6"/>
    </row>
    <row r="258" spans="10:12" ht="14.4">
      <c r="J258" s="6"/>
      <c r="K258" s="6"/>
      <c r="L258" s="6"/>
    </row>
    <row r="259" spans="10:12" ht="14.4">
      <c r="J259" s="6"/>
      <c r="K259" s="6"/>
      <c r="L259" s="6"/>
    </row>
    <row r="260" spans="10:12" ht="14.4">
      <c r="J260" s="6"/>
      <c r="K260" s="6"/>
      <c r="L260" s="6"/>
    </row>
    <row r="261" spans="10:12" ht="14.4">
      <c r="J261" s="6"/>
      <c r="K261" s="6"/>
      <c r="L261" s="6"/>
    </row>
    <row r="262" spans="10:12" ht="14.4">
      <c r="J262" s="6"/>
      <c r="K262" s="6"/>
      <c r="L262" s="6"/>
    </row>
    <row r="263" spans="10:12" ht="14.4">
      <c r="J263" s="6"/>
      <c r="K263" s="6"/>
      <c r="L263" s="6"/>
    </row>
    <row r="264" spans="10:12" ht="14.4">
      <c r="J264" s="6"/>
      <c r="K264" s="6"/>
      <c r="L264" s="6"/>
    </row>
    <row r="265" spans="10:12" ht="14.4">
      <c r="J265" s="6"/>
      <c r="K265" s="6"/>
      <c r="L265" s="6"/>
    </row>
    <row r="266" spans="10:12" ht="14.4">
      <c r="J266" s="6"/>
      <c r="K266" s="6"/>
      <c r="L266" s="6"/>
    </row>
    <row r="267" spans="10:12" ht="14.4">
      <c r="J267" s="6"/>
      <c r="K267" s="6"/>
      <c r="L267" s="6"/>
    </row>
    <row r="268" spans="10:12" ht="14.4">
      <c r="J268" s="6"/>
      <c r="K268" s="6"/>
      <c r="L268" s="6"/>
    </row>
    <row r="269" spans="10:12" ht="14.4">
      <c r="J269" s="6"/>
      <c r="K269" s="6"/>
      <c r="L269" s="6"/>
    </row>
    <row r="270" spans="10:12" ht="14.4">
      <c r="J270" s="6"/>
      <c r="K270" s="6"/>
      <c r="L270" s="6"/>
    </row>
    <row r="271" spans="10:12" ht="14.4">
      <c r="J271" s="6"/>
      <c r="K271" s="6"/>
      <c r="L271" s="6"/>
    </row>
    <row r="272" spans="10:12" ht="14.4">
      <c r="J272" s="6"/>
      <c r="K272" s="6"/>
      <c r="L272" s="6"/>
    </row>
    <row r="273" spans="10:12" ht="14.4">
      <c r="J273" s="6"/>
      <c r="K273" s="6"/>
      <c r="L273" s="6"/>
    </row>
    <row r="274" spans="10:12" ht="14.4">
      <c r="J274" s="6"/>
      <c r="K274" s="6"/>
      <c r="L274" s="6"/>
    </row>
    <row r="275" spans="10:12" ht="14.4">
      <c r="J275" s="6"/>
      <c r="K275" s="6"/>
      <c r="L275" s="6"/>
    </row>
    <row r="276" spans="10:12" ht="14.4">
      <c r="J276" s="6"/>
      <c r="K276" s="6"/>
      <c r="L276" s="6"/>
    </row>
    <row r="277" spans="10:12" ht="14.4">
      <c r="J277" s="6"/>
      <c r="K277" s="6"/>
      <c r="L277" s="6"/>
    </row>
    <row r="278" spans="10:12" ht="14.4">
      <c r="J278" s="6"/>
      <c r="K278" s="6"/>
      <c r="L278" s="6"/>
    </row>
    <row r="279" spans="10:12" ht="14.4">
      <c r="J279" s="6"/>
      <c r="K279" s="6"/>
      <c r="L279" s="6"/>
    </row>
    <row r="280" spans="10:12" ht="14.4">
      <c r="J280" s="6"/>
      <c r="K280" s="6"/>
      <c r="L280" s="6"/>
    </row>
    <row r="281" spans="10:12" ht="14.4">
      <c r="J281" s="6"/>
      <c r="K281" s="6"/>
      <c r="L281" s="6"/>
    </row>
    <row r="282" spans="10:12" ht="14.4">
      <c r="J282" s="6"/>
      <c r="K282" s="6"/>
      <c r="L282" s="6"/>
    </row>
    <row r="283" spans="10:12" ht="14.4">
      <c r="J283" s="6"/>
      <c r="K283" s="6"/>
      <c r="L283" s="6"/>
    </row>
    <row r="284" spans="10:12" ht="14.4">
      <c r="J284" s="6"/>
      <c r="K284" s="6"/>
      <c r="L284" s="6"/>
    </row>
    <row r="285" spans="10:12" ht="14.4">
      <c r="J285" s="6"/>
      <c r="K285" s="6"/>
      <c r="L285" s="6"/>
    </row>
    <row r="286" spans="10:12" ht="14.4">
      <c r="J286" s="6"/>
      <c r="K286" s="6"/>
      <c r="L286" s="6"/>
    </row>
    <row r="287" spans="10:12" ht="14.4">
      <c r="J287" s="6"/>
      <c r="K287" s="6"/>
      <c r="L287" s="6"/>
    </row>
    <row r="288" spans="10:12" ht="14.4">
      <c r="J288" s="6"/>
      <c r="K288" s="6"/>
      <c r="L288" s="6"/>
    </row>
    <row r="289" spans="10:12" ht="14.4">
      <c r="J289" s="6"/>
      <c r="K289" s="6"/>
      <c r="L289" s="6"/>
    </row>
    <row r="290" spans="10:12" ht="14.4">
      <c r="J290" s="6"/>
      <c r="K290" s="6"/>
      <c r="L290" s="6"/>
    </row>
    <row r="291" spans="10:12" ht="14.4">
      <c r="J291" s="6"/>
      <c r="K291" s="6"/>
      <c r="L291" s="6"/>
    </row>
    <row r="292" spans="10:12" ht="14.4">
      <c r="J292" s="6"/>
      <c r="K292" s="6"/>
      <c r="L292" s="6"/>
    </row>
    <row r="293" spans="10:12" ht="14.4">
      <c r="J293" s="6"/>
      <c r="K293" s="6"/>
      <c r="L293" s="6"/>
    </row>
    <row r="294" spans="10:12" ht="14.4">
      <c r="J294" s="6"/>
      <c r="K294" s="6"/>
      <c r="L294" s="6"/>
    </row>
    <row r="295" spans="10:12" ht="14.4">
      <c r="J295" s="6"/>
      <c r="K295" s="6"/>
      <c r="L295" s="6"/>
    </row>
    <row r="296" spans="10:12" ht="14.4">
      <c r="J296" s="6"/>
      <c r="K296" s="6"/>
      <c r="L296" s="6"/>
    </row>
    <row r="297" spans="10:12" ht="14.4">
      <c r="J297" s="6"/>
      <c r="K297" s="6"/>
      <c r="L297" s="6"/>
    </row>
    <row r="298" spans="10:12" ht="14.4">
      <c r="J298" s="6"/>
      <c r="K298" s="6"/>
      <c r="L298" s="6"/>
    </row>
    <row r="299" spans="10:12" ht="14.4">
      <c r="J299" s="6"/>
      <c r="K299" s="6"/>
      <c r="L299" s="6"/>
    </row>
    <row r="300" spans="10:12" ht="14.4">
      <c r="J300" s="6"/>
      <c r="K300" s="6"/>
      <c r="L300" s="6"/>
    </row>
    <row r="301" spans="10:12" ht="14.4">
      <c r="J301" s="6"/>
      <c r="K301" s="6"/>
      <c r="L301" s="6"/>
    </row>
    <row r="302" spans="10:12" ht="14.4">
      <c r="J302" s="6"/>
      <c r="K302" s="6"/>
      <c r="L302" s="6"/>
    </row>
    <row r="303" spans="10:12" ht="14.4">
      <c r="J303" s="6"/>
      <c r="K303" s="6"/>
      <c r="L303" s="6"/>
    </row>
    <row r="304" spans="10:12" ht="14.4">
      <c r="J304" s="6"/>
      <c r="K304" s="6"/>
      <c r="L304" s="6"/>
    </row>
    <row r="305" spans="10:12" ht="14.4">
      <c r="J305" s="6"/>
      <c r="K305" s="6"/>
      <c r="L305" s="6"/>
    </row>
    <row r="306" spans="10:12" ht="14.4">
      <c r="J306" s="6"/>
      <c r="K306" s="6"/>
      <c r="L306" s="6"/>
    </row>
    <row r="307" spans="10:12" ht="14.4">
      <c r="J307" s="6"/>
      <c r="K307" s="6"/>
      <c r="L307" s="6"/>
    </row>
    <row r="308" spans="10:12" ht="14.4">
      <c r="J308" s="6"/>
      <c r="K308" s="6"/>
      <c r="L308" s="6"/>
    </row>
    <row r="309" spans="10:12" ht="14.4">
      <c r="J309" s="6"/>
      <c r="K309" s="6"/>
      <c r="L309" s="6"/>
    </row>
    <row r="310" spans="10:12" ht="14.4">
      <c r="J310" s="6"/>
      <c r="K310" s="6"/>
      <c r="L310" s="6"/>
    </row>
    <row r="311" spans="10:12" ht="14.4">
      <c r="J311" s="6"/>
      <c r="K311" s="6"/>
      <c r="L311" s="6"/>
    </row>
    <row r="312" spans="10:12" ht="14.4">
      <c r="J312" s="6"/>
      <c r="K312" s="6"/>
      <c r="L312" s="6"/>
    </row>
    <row r="313" spans="10:12" ht="14.4">
      <c r="J313" s="6"/>
      <c r="K313" s="6"/>
      <c r="L313" s="6"/>
    </row>
    <row r="314" spans="10:12" ht="14.4">
      <c r="J314" s="6"/>
      <c r="K314" s="6"/>
      <c r="L314" s="6"/>
    </row>
    <row r="315" spans="10:12" ht="14.4">
      <c r="J315" s="6"/>
      <c r="K315" s="6"/>
      <c r="L315" s="6"/>
    </row>
    <row r="316" spans="10:12" ht="14.4">
      <c r="J316" s="6"/>
      <c r="K316" s="6"/>
      <c r="L316" s="6"/>
    </row>
    <row r="317" spans="10:12" ht="14.4">
      <c r="J317" s="6"/>
      <c r="K317" s="6"/>
      <c r="L317" s="6"/>
    </row>
    <row r="318" spans="10:12" ht="14.4">
      <c r="J318" s="6"/>
      <c r="K318" s="6"/>
      <c r="L318" s="6"/>
    </row>
    <row r="319" spans="10:12" ht="14.4">
      <c r="J319" s="6"/>
      <c r="K319" s="6"/>
      <c r="L319" s="6"/>
    </row>
    <row r="320" spans="10:12" ht="14.4">
      <c r="J320" s="6"/>
      <c r="K320" s="6"/>
      <c r="L320" s="6"/>
    </row>
    <row r="321" spans="10:12" ht="14.4">
      <c r="J321" s="6"/>
      <c r="K321" s="6"/>
      <c r="L321" s="6"/>
    </row>
    <row r="322" spans="10:12" ht="14.4">
      <c r="J322" s="6"/>
      <c r="K322" s="6"/>
      <c r="L322" s="6"/>
    </row>
    <row r="323" spans="10:12" ht="14.4">
      <c r="J323" s="6"/>
      <c r="K323" s="6"/>
      <c r="L323" s="6"/>
    </row>
    <row r="324" spans="10:12" ht="14.4">
      <c r="J324" s="6"/>
      <c r="K324" s="6"/>
      <c r="L324" s="6"/>
    </row>
    <row r="325" spans="10:12" ht="14.4">
      <c r="J325" s="6"/>
      <c r="K325" s="6"/>
      <c r="L325" s="6"/>
    </row>
    <row r="326" spans="10:12" ht="14.4">
      <c r="J326" s="6"/>
      <c r="K326" s="6"/>
      <c r="L326" s="6"/>
    </row>
    <row r="327" spans="10:12" ht="14.4">
      <c r="J327" s="6"/>
      <c r="K327" s="6"/>
      <c r="L327" s="6"/>
    </row>
    <row r="328" spans="10:12" ht="14.4">
      <c r="J328" s="6"/>
      <c r="K328" s="6"/>
      <c r="L328" s="6"/>
    </row>
    <row r="329" spans="10:12" ht="14.4">
      <c r="J329" s="6"/>
      <c r="K329" s="6"/>
      <c r="L329" s="6"/>
    </row>
    <row r="330" spans="10:12" ht="14.4">
      <c r="J330" s="6"/>
      <c r="K330" s="6"/>
      <c r="L330" s="6"/>
    </row>
    <row r="331" spans="10:12" ht="14.4">
      <c r="J331" s="6"/>
      <c r="K331" s="6"/>
      <c r="L331" s="6"/>
    </row>
    <row r="332" spans="10:12" ht="14.4">
      <c r="J332" s="6"/>
      <c r="K332" s="6"/>
      <c r="L332" s="6"/>
    </row>
    <row r="333" spans="10:12" ht="14.4">
      <c r="J333" s="6"/>
      <c r="K333" s="6"/>
      <c r="L333" s="6"/>
    </row>
    <row r="334" spans="10:12" ht="14.4">
      <c r="J334" s="6"/>
      <c r="K334" s="6"/>
      <c r="L334" s="6"/>
    </row>
    <row r="335" spans="10:12" ht="14.4">
      <c r="J335" s="6"/>
      <c r="K335" s="6"/>
      <c r="L335" s="6"/>
    </row>
    <row r="336" spans="10:12" ht="14.4">
      <c r="J336" s="6"/>
      <c r="K336" s="6"/>
      <c r="L336" s="6"/>
    </row>
    <row r="337" spans="10:12" ht="14.4">
      <c r="J337" s="6"/>
      <c r="K337" s="6"/>
      <c r="L337" s="6"/>
    </row>
    <row r="338" spans="10:12" ht="14.4">
      <c r="J338" s="6"/>
      <c r="K338" s="6"/>
      <c r="L338" s="6"/>
    </row>
    <row r="339" spans="10:12" ht="14.4">
      <c r="J339" s="6"/>
      <c r="K339" s="6"/>
      <c r="L339" s="6"/>
    </row>
    <row r="340" spans="10:12" ht="14.4">
      <c r="J340" s="6"/>
      <c r="K340" s="6"/>
      <c r="L340" s="6"/>
    </row>
    <row r="341" spans="10:12" ht="14.4">
      <c r="J341" s="6"/>
      <c r="K341" s="6"/>
      <c r="L341" s="6"/>
    </row>
    <row r="342" spans="10:12" ht="14.4">
      <c r="J342" s="6"/>
      <c r="K342" s="6"/>
      <c r="L342" s="6"/>
    </row>
    <row r="343" spans="10:12" ht="14.4">
      <c r="J343" s="6"/>
      <c r="K343" s="6"/>
      <c r="L343" s="6"/>
    </row>
    <row r="344" spans="10:12" ht="14.4">
      <c r="J344" s="6"/>
      <c r="K344" s="6"/>
      <c r="L344" s="6"/>
    </row>
    <row r="345" spans="10:12" ht="14.4">
      <c r="J345" s="6"/>
      <c r="K345" s="6"/>
      <c r="L345" s="6"/>
    </row>
    <row r="346" spans="10:12" ht="14.4">
      <c r="J346" s="6"/>
      <c r="K346" s="6"/>
      <c r="L346" s="6"/>
    </row>
    <row r="347" spans="10:12" ht="14.4">
      <c r="J347" s="6"/>
      <c r="K347" s="6"/>
      <c r="L347" s="6"/>
    </row>
    <row r="348" spans="10:12" ht="14.4">
      <c r="J348" s="6"/>
      <c r="K348" s="6"/>
      <c r="L348" s="6"/>
    </row>
    <row r="349" spans="10:12" ht="14.4">
      <c r="J349" s="6"/>
      <c r="K349" s="6"/>
      <c r="L349" s="6"/>
    </row>
    <row r="350" spans="10:12" ht="14.4">
      <c r="J350" s="6"/>
      <c r="K350" s="6"/>
      <c r="L350" s="6"/>
    </row>
    <row r="351" spans="10:12" ht="14.4">
      <c r="J351" s="6"/>
      <c r="K351" s="6"/>
      <c r="L351" s="6"/>
    </row>
    <row r="352" spans="10:12" ht="14.4">
      <c r="J352" s="6"/>
      <c r="K352" s="6"/>
      <c r="L352" s="6"/>
    </row>
    <row r="353" spans="10:12" ht="14.4">
      <c r="J353" s="6"/>
      <c r="K353" s="6"/>
      <c r="L353" s="6"/>
    </row>
    <row r="354" spans="10:12" ht="14.4">
      <c r="J354" s="6"/>
      <c r="K354" s="6"/>
      <c r="L354" s="6"/>
    </row>
    <row r="355" spans="10:12" ht="14.4">
      <c r="J355" s="6"/>
      <c r="K355" s="6"/>
      <c r="L355" s="6"/>
    </row>
    <row r="356" spans="10:12" ht="14.4">
      <c r="J356" s="6"/>
      <c r="K356" s="6"/>
      <c r="L356" s="6"/>
    </row>
    <row r="357" spans="10:12" ht="14.4">
      <c r="J357" s="6"/>
      <c r="K357" s="6"/>
      <c r="L357" s="6"/>
    </row>
    <row r="358" spans="10:12" ht="14.4">
      <c r="J358" s="6"/>
      <c r="K358" s="6"/>
      <c r="L358" s="6"/>
    </row>
    <row r="359" spans="10:12" ht="14.4">
      <c r="J359" s="6"/>
      <c r="K359" s="6"/>
      <c r="L359" s="6"/>
    </row>
    <row r="360" spans="10:12" ht="14.4">
      <c r="J360" s="6"/>
      <c r="K360" s="6"/>
      <c r="L360" s="6"/>
    </row>
    <row r="361" spans="10:12" ht="14.4">
      <c r="J361" s="6"/>
      <c r="K361" s="6"/>
      <c r="L361" s="6"/>
    </row>
    <row r="362" spans="10:12" ht="14.4">
      <c r="J362" s="6"/>
      <c r="K362" s="6"/>
      <c r="L362" s="6"/>
    </row>
    <row r="363" spans="10:12" ht="14.4">
      <c r="J363" s="6"/>
      <c r="K363" s="6"/>
      <c r="L363" s="6"/>
    </row>
    <row r="364" spans="10:12" ht="14.4">
      <c r="J364" s="6"/>
      <c r="K364" s="6"/>
      <c r="L364" s="6"/>
    </row>
    <row r="365" spans="10:12" ht="14.4">
      <c r="J365" s="6"/>
      <c r="K365" s="6"/>
      <c r="L365" s="6"/>
    </row>
    <row r="366" spans="10:12" ht="14.4">
      <c r="J366" s="6"/>
      <c r="K366" s="6"/>
      <c r="L366" s="6"/>
    </row>
    <row r="367" spans="10:12" ht="14.4">
      <c r="J367" s="6"/>
      <c r="K367" s="6"/>
      <c r="L367" s="6"/>
    </row>
    <row r="368" spans="10:12" ht="14.4">
      <c r="J368" s="6"/>
      <c r="K368" s="6"/>
      <c r="L368" s="6"/>
    </row>
    <row r="369" spans="10:12" ht="14.4">
      <c r="J369" s="6"/>
      <c r="K369" s="6"/>
      <c r="L369" s="6"/>
    </row>
    <row r="370" spans="10:12" ht="14.4">
      <c r="J370" s="6"/>
      <c r="K370" s="6"/>
      <c r="L370" s="6"/>
    </row>
    <row r="371" spans="10:12" ht="14.4">
      <c r="J371" s="6"/>
      <c r="K371" s="6"/>
      <c r="L371" s="6"/>
    </row>
    <row r="372" spans="10:12" ht="14.4">
      <c r="J372" s="6"/>
      <c r="K372" s="6"/>
      <c r="L372" s="6"/>
    </row>
    <row r="373" spans="10:12" ht="14.4">
      <c r="J373" s="6"/>
      <c r="K373" s="6"/>
      <c r="L373" s="6"/>
    </row>
    <row r="374" spans="10:12" ht="14.4">
      <c r="J374" s="6"/>
      <c r="K374" s="6"/>
      <c r="L374" s="6"/>
    </row>
    <row r="375" spans="10:12" ht="14.4">
      <c r="J375" s="6"/>
      <c r="K375" s="6"/>
      <c r="L375" s="6"/>
    </row>
    <row r="376" spans="10:12" ht="14.4">
      <c r="J376" s="6"/>
      <c r="K376" s="6"/>
      <c r="L376" s="6"/>
    </row>
    <row r="377" spans="10:12" ht="14.4">
      <c r="J377" s="6"/>
      <c r="K377" s="6"/>
      <c r="L377" s="6"/>
    </row>
    <row r="378" spans="10:12" ht="14.4">
      <c r="J378" s="6"/>
      <c r="K378" s="6"/>
      <c r="L378" s="6"/>
    </row>
    <row r="379" spans="10:12" ht="14.4">
      <c r="J379" s="6"/>
      <c r="K379" s="6"/>
      <c r="L379" s="6"/>
    </row>
    <row r="380" spans="10:12" ht="14.4">
      <c r="J380" s="6"/>
      <c r="K380" s="6"/>
      <c r="L380" s="6"/>
    </row>
    <row r="381" spans="10:12" ht="14.4">
      <c r="J381" s="6"/>
      <c r="K381" s="6"/>
      <c r="L381" s="6"/>
    </row>
    <row r="382" spans="10:12" ht="14.4">
      <c r="J382" s="6"/>
      <c r="K382" s="6"/>
      <c r="L382" s="6"/>
    </row>
    <row r="383" spans="10:12" ht="14.4">
      <c r="J383" s="6"/>
      <c r="K383" s="6"/>
      <c r="L383" s="6"/>
    </row>
    <row r="384" spans="10:12" ht="14.4">
      <c r="J384" s="6"/>
      <c r="K384" s="6"/>
      <c r="L384" s="6"/>
    </row>
    <row r="385" spans="10:12" ht="14.4">
      <c r="J385" s="6"/>
      <c r="K385" s="6"/>
      <c r="L385" s="6"/>
    </row>
    <row r="386" spans="10:12" ht="14.4">
      <c r="J386" s="6"/>
      <c r="K386" s="6"/>
      <c r="L386" s="6"/>
    </row>
    <row r="387" spans="10:12" ht="14.4">
      <c r="J387" s="6"/>
      <c r="K387" s="6"/>
      <c r="L387" s="6"/>
    </row>
    <row r="388" spans="10:12" ht="14.4">
      <c r="J388" s="6"/>
      <c r="K388" s="6"/>
      <c r="L388" s="6"/>
    </row>
    <row r="389" spans="10:12" ht="14.4">
      <c r="J389" s="6"/>
      <c r="K389" s="6"/>
      <c r="L389" s="6"/>
    </row>
    <row r="390" spans="10:12" ht="14.4">
      <c r="J390" s="6"/>
      <c r="K390" s="6"/>
      <c r="L390" s="6"/>
    </row>
    <row r="391" spans="10:12" ht="14.4">
      <c r="J391" s="6"/>
      <c r="K391" s="6"/>
      <c r="L391" s="6"/>
    </row>
    <row r="392" spans="10:12" ht="14.4">
      <c r="J392" s="6"/>
      <c r="K392" s="6"/>
      <c r="L392" s="6"/>
    </row>
    <row r="393" spans="10:12" ht="14.4">
      <c r="J393" s="6"/>
      <c r="K393" s="6"/>
      <c r="L393" s="6"/>
    </row>
    <row r="394" spans="10:12" ht="14.4">
      <c r="J394" s="6"/>
      <c r="K394" s="6"/>
      <c r="L394" s="6"/>
    </row>
    <row r="395" spans="10:12" ht="14.4">
      <c r="J395" s="6"/>
      <c r="K395" s="6"/>
      <c r="L395" s="6"/>
    </row>
    <row r="396" spans="10:12" ht="14.4">
      <c r="J396" s="6"/>
      <c r="K396" s="6"/>
      <c r="L396" s="6"/>
    </row>
    <row r="397" spans="10:12" ht="14.4">
      <c r="J397" s="6"/>
      <c r="K397" s="6"/>
      <c r="L397" s="6"/>
    </row>
    <row r="398" spans="10:12" ht="14.4">
      <c r="J398" s="6"/>
      <c r="K398" s="6"/>
      <c r="L398" s="6"/>
    </row>
    <row r="399" spans="10:12" ht="14.4">
      <c r="J399" s="6"/>
      <c r="K399" s="6"/>
      <c r="L399" s="6"/>
    </row>
    <row r="400" spans="10:12" ht="14.4">
      <c r="J400" s="6"/>
      <c r="K400" s="6"/>
      <c r="L400" s="6"/>
    </row>
    <row r="401" spans="10:12" ht="14.4">
      <c r="J401" s="6"/>
      <c r="K401" s="6"/>
      <c r="L401" s="6"/>
    </row>
    <row r="402" spans="10:12" ht="14.4">
      <c r="J402" s="6"/>
      <c r="K402" s="6"/>
      <c r="L402" s="6"/>
    </row>
    <row r="403" spans="10:12" ht="14.4">
      <c r="J403" s="6"/>
      <c r="K403" s="6"/>
      <c r="L403" s="6"/>
    </row>
    <row r="404" spans="10:12" ht="14.4">
      <c r="J404" s="6"/>
      <c r="K404" s="6"/>
      <c r="L404" s="6"/>
    </row>
    <row r="405" spans="10:12" ht="14.4">
      <c r="J405" s="6"/>
      <c r="K405" s="6"/>
      <c r="L405" s="6"/>
    </row>
    <row r="406" spans="10:12" ht="14.4">
      <c r="J406" s="6"/>
      <c r="K406" s="6"/>
      <c r="L406" s="6"/>
    </row>
    <row r="407" spans="10:12" ht="14.4">
      <c r="J407" s="6"/>
      <c r="K407" s="6"/>
      <c r="L407" s="6"/>
    </row>
    <row r="408" spans="10:12" ht="14.4">
      <c r="J408" s="6"/>
      <c r="K408" s="6"/>
      <c r="L408" s="6"/>
    </row>
    <row r="409" spans="10:12" ht="14.4">
      <c r="J409" s="6"/>
      <c r="K409" s="6"/>
      <c r="L409" s="6"/>
    </row>
    <row r="410" spans="10:12" ht="14.4">
      <c r="J410" s="6"/>
      <c r="K410" s="6"/>
      <c r="L410" s="6"/>
    </row>
    <row r="411" spans="10:12" ht="14.4">
      <c r="J411" s="6"/>
      <c r="K411" s="6"/>
      <c r="L411" s="6"/>
    </row>
    <row r="412" spans="10:12" ht="14.4">
      <c r="J412" s="6"/>
      <c r="K412" s="6"/>
      <c r="L412" s="6"/>
    </row>
    <row r="413" spans="10:12" ht="14.4">
      <c r="J413" s="6"/>
      <c r="K413" s="6"/>
      <c r="L413" s="6"/>
    </row>
    <row r="414" spans="10:12" ht="14.4">
      <c r="J414" s="6"/>
      <c r="K414" s="6"/>
      <c r="L414" s="6"/>
    </row>
    <row r="415" spans="10:12" ht="14.4">
      <c r="J415" s="6"/>
      <c r="K415" s="6"/>
      <c r="L415" s="6"/>
    </row>
    <row r="416" spans="10:12" ht="14.4">
      <c r="J416" s="6"/>
      <c r="K416" s="6"/>
      <c r="L416" s="6"/>
    </row>
    <row r="417" spans="10:12" ht="14.4">
      <c r="J417" s="6"/>
      <c r="K417" s="6"/>
      <c r="L417" s="6"/>
    </row>
    <row r="418" spans="10:12" ht="14.4">
      <c r="J418" s="6"/>
      <c r="K418" s="6"/>
      <c r="L418" s="6"/>
    </row>
    <row r="419" spans="10:12" ht="14.4">
      <c r="J419" s="6"/>
      <c r="K419" s="6"/>
      <c r="L419" s="6"/>
    </row>
    <row r="420" spans="10:12" ht="14.4">
      <c r="J420" s="6"/>
      <c r="K420" s="6"/>
      <c r="L420" s="6"/>
    </row>
    <row r="421" spans="10:12" ht="14.4">
      <c r="J421" s="6"/>
      <c r="K421" s="6"/>
      <c r="L421" s="6"/>
    </row>
    <row r="422" spans="10:12" ht="14.4">
      <c r="J422" s="6"/>
      <c r="K422" s="6"/>
      <c r="L422" s="6"/>
    </row>
    <row r="423" spans="10:12" ht="14.4">
      <c r="J423" s="6"/>
      <c r="K423" s="6"/>
      <c r="L423" s="6"/>
    </row>
    <row r="424" spans="10:12" ht="14.4">
      <c r="J424" s="6"/>
      <c r="K424" s="6"/>
      <c r="L424" s="6"/>
    </row>
    <row r="425" spans="10:12" ht="14.4">
      <c r="J425" s="6"/>
      <c r="K425" s="6"/>
      <c r="L425" s="6"/>
    </row>
    <row r="426" spans="10:12" ht="14.4">
      <c r="J426" s="6"/>
      <c r="K426" s="6"/>
      <c r="L426" s="6"/>
    </row>
    <row r="427" spans="10:12" ht="14.4">
      <c r="J427" s="6"/>
      <c r="K427" s="6"/>
      <c r="L427" s="6"/>
    </row>
    <row r="428" spans="10:12" ht="14.4">
      <c r="J428" s="6"/>
      <c r="K428" s="6"/>
      <c r="L428" s="6"/>
    </row>
    <row r="429" spans="10:12" ht="14.4">
      <c r="J429" s="6"/>
      <c r="K429" s="6"/>
      <c r="L429" s="6"/>
    </row>
    <row r="430" spans="10:12" ht="14.4">
      <c r="J430" s="6"/>
      <c r="K430" s="6"/>
      <c r="L430" s="6"/>
    </row>
    <row r="431" spans="10:12" ht="14.4">
      <c r="J431" s="6"/>
      <c r="K431" s="6"/>
      <c r="L431" s="6"/>
    </row>
    <row r="432" spans="10:12" ht="14.4">
      <c r="J432" s="6"/>
      <c r="K432" s="6"/>
      <c r="L432" s="6"/>
    </row>
    <row r="433" spans="10:12" ht="14.4">
      <c r="J433" s="6"/>
      <c r="K433" s="6"/>
      <c r="L433" s="6"/>
    </row>
    <row r="434" spans="10:12" ht="14.4">
      <c r="J434" s="6"/>
      <c r="K434" s="6"/>
      <c r="L434" s="6"/>
    </row>
    <row r="435" spans="10:12" ht="14.4">
      <c r="J435" s="6"/>
      <c r="K435" s="6"/>
      <c r="L435" s="6"/>
    </row>
    <row r="436" spans="10:12" ht="14.4">
      <c r="J436" s="6"/>
      <c r="K436" s="6"/>
      <c r="L436" s="6"/>
    </row>
    <row r="437" spans="10:12" ht="14.4">
      <c r="J437" s="6"/>
      <c r="K437" s="6"/>
      <c r="L437" s="6"/>
    </row>
    <row r="438" spans="10:12" ht="14.4">
      <c r="J438" s="6"/>
      <c r="K438" s="6"/>
      <c r="L438" s="6"/>
    </row>
    <row r="439" spans="10:12" ht="14.4">
      <c r="J439" s="6"/>
      <c r="K439" s="6"/>
      <c r="L439" s="6"/>
    </row>
    <row r="440" spans="10:12" ht="14.4">
      <c r="J440" s="6"/>
      <c r="K440" s="6"/>
      <c r="L440" s="6"/>
    </row>
    <row r="441" spans="10:12" ht="14.4">
      <c r="J441" s="6"/>
      <c r="K441" s="6"/>
      <c r="L441" s="6"/>
    </row>
    <row r="442" spans="10:12" ht="14.4">
      <c r="J442" s="6"/>
      <c r="K442" s="6"/>
      <c r="L442" s="6"/>
    </row>
    <row r="443" spans="10:12" ht="14.4">
      <c r="J443" s="6"/>
      <c r="K443" s="6"/>
      <c r="L443" s="6"/>
    </row>
    <row r="444" spans="10:12" ht="14.4">
      <c r="J444" s="6"/>
      <c r="K444" s="6"/>
      <c r="L444" s="6"/>
    </row>
    <row r="445" spans="10:12" ht="14.4">
      <c r="J445" s="6"/>
      <c r="K445" s="6"/>
      <c r="L445" s="6"/>
    </row>
    <row r="446" spans="10:12" ht="14.4">
      <c r="J446" s="6"/>
      <c r="K446" s="6"/>
      <c r="L446" s="6"/>
    </row>
    <row r="447" spans="10:12" ht="14.4">
      <c r="J447" s="6"/>
      <c r="K447" s="6"/>
      <c r="L447" s="6"/>
    </row>
    <row r="448" spans="10:12" ht="14.4">
      <c r="J448" s="6"/>
      <c r="K448" s="6"/>
      <c r="L448" s="6"/>
    </row>
    <row r="449" spans="10:12" ht="14.4">
      <c r="J449" s="6"/>
      <c r="K449" s="6"/>
      <c r="L449" s="6"/>
    </row>
    <row r="450" spans="10:12" ht="14.4">
      <c r="J450" s="6"/>
      <c r="K450" s="6"/>
      <c r="L450" s="6"/>
    </row>
    <row r="451" spans="10:12" ht="14.4">
      <c r="J451" s="6"/>
      <c r="K451" s="6"/>
      <c r="L451" s="6"/>
    </row>
    <row r="452" spans="10:12" ht="14.4">
      <c r="J452" s="6"/>
      <c r="K452" s="6"/>
      <c r="L452" s="6"/>
    </row>
    <row r="453" spans="10:12" ht="14.4">
      <c r="J453" s="6"/>
      <c r="K453" s="6"/>
      <c r="L453" s="6"/>
    </row>
    <row r="454" spans="10:12" ht="14.4">
      <c r="J454" s="6"/>
      <c r="K454" s="6"/>
      <c r="L454" s="6"/>
    </row>
    <row r="455" spans="10:12" ht="14.4">
      <c r="J455" s="6"/>
      <c r="K455" s="6"/>
      <c r="L455" s="6"/>
    </row>
    <row r="456" spans="10:12" ht="14.4">
      <c r="J456" s="6"/>
      <c r="K456" s="6"/>
      <c r="L456" s="6"/>
    </row>
    <row r="457" spans="10:12" ht="14.4">
      <c r="J457" s="6"/>
      <c r="K457" s="6"/>
      <c r="L457" s="6"/>
    </row>
    <row r="458" spans="10:12" ht="14.4">
      <c r="J458" s="6"/>
      <c r="K458" s="6"/>
      <c r="L458" s="6"/>
    </row>
    <row r="459" spans="10:12" ht="14.4">
      <c r="J459" s="6"/>
      <c r="K459" s="6"/>
      <c r="L459" s="6"/>
    </row>
    <row r="460" spans="10:12" ht="14.4">
      <c r="J460" s="6"/>
      <c r="K460" s="6"/>
      <c r="L460" s="6"/>
    </row>
    <row r="461" spans="10:12" ht="14.4">
      <c r="J461" s="6"/>
      <c r="K461" s="6"/>
      <c r="L461" s="6"/>
    </row>
    <row r="462" spans="10:12" ht="14.4">
      <c r="J462" s="6"/>
      <c r="K462" s="6"/>
      <c r="L462" s="6"/>
    </row>
    <row r="463" spans="10:12" ht="14.4">
      <c r="J463" s="6"/>
      <c r="K463" s="6"/>
      <c r="L463" s="6"/>
    </row>
    <row r="464" spans="10:12" ht="14.4">
      <c r="J464" s="6"/>
      <c r="K464" s="6"/>
      <c r="L464" s="6"/>
    </row>
    <row r="465" spans="10:12" ht="14.4">
      <c r="J465" s="6"/>
      <c r="K465" s="6"/>
      <c r="L465" s="6"/>
    </row>
    <row r="466" spans="10:12" ht="14.4">
      <c r="J466" s="6"/>
      <c r="K466" s="6"/>
      <c r="L466" s="6"/>
    </row>
    <row r="467" spans="10:12" ht="14.4">
      <c r="J467" s="6"/>
      <c r="K467" s="6"/>
      <c r="L467" s="6"/>
    </row>
    <row r="468" spans="10:12" ht="14.4">
      <c r="J468" s="6"/>
      <c r="K468" s="6"/>
      <c r="L468" s="6"/>
    </row>
    <row r="469" spans="10:12" ht="14.4">
      <c r="J469" s="6"/>
      <c r="K469" s="6"/>
      <c r="L469" s="6"/>
    </row>
    <row r="470" spans="10:12" ht="14.4">
      <c r="J470" s="6"/>
      <c r="K470" s="6"/>
      <c r="L470" s="6"/>
    </row>
    <row r="471" spans="10:12" ht="14.4">
      <c r="J471" s="6"/>
      <c r="K471" s="6"/>
      <c r="L471" s="6"/>
    </row>
    <row r="472" spans="10:12" ht="14.4">
      <c r="J472" s="6"/>
      <c r="K472" s="6"/>
      <c r="L472" s="6"/>
    </row>
    <row r="473" spans="10:12" ht="14.4">
      <c r="J473" s="6"/>
      <c r="K473" s="6"/>
      <c r="L473" s="6"/>
    </row>
    <row r="474" spans="10:12" ht="14.4">
      <c r="J474" s="6"/>
      <c r="K474" s="6"/>
      <c r="L474" s="6"/>
    </row>
    <row r="475" spans="10:12" ht="14.4">
      <c r="J475" s="6"/>
      <c r="K475" s="6"/>
      <c r="L475" s="6"/>
    </row>
    <row r="476" spans="10:12" ht="14.4">
      <c r="J476" s="6"/>
      <c r="K476" s="6"/>
      <c r="L476" s="6"/>
    </row>
    <row r="477" spans="10:12" ht="14.4">
      <c r="J477" s="6"/>
      <c r="K477" s="6"/>
      <c r="L477" s="6"/>
    </row>
    <row r="478" spans="10:12" ht="14.4">
      <c r="J478" s="6"/>
      <c r="K478" s="6"/>
      <c r="L478" s="6"/>
    </row>
    <row r="479" spans="10:12" ht="14.4">
      <c r="J479" s="6"/>
      <c r="K479" s="6"/>
      <c r="L479" s="6"/>
    </row>
    <row r="480" spans="10:12" ht="14.4">
      <c r="J480" s="6"/>
      <c r="K480" s="6"/>
      <c r="L480" s="6"/>
    </row>
    <row r="481" spans="10:12" ht="14.4">
      <c r="J481" s="6"/>
      <c r="K481" s="6"/>
      <c r="L481" s="6"/>
    </row>
    <row r="482" spans="10:12" ht="14.4">
      <c r="J482" s="6"/>
      <c r="K482" s="6"/>
      <c r="L482" s="6"/>
    </row>
    <row r="483" spans="10:12" ht="14.4">
      <c r="J483" s="6"/>
      <c r="K483" s="6"/>
      <c r="L483" s="6"/>
    </row>
    <row r="484" spans="10:12" ht="14.4">
      <c r="J484" s="6"/>
      <c r="K484" s="6"/>
      <c r="L484" s="6"/>
    </row>
    <row r="485" spans="10:12" ht="14.4">
      <c r="J485" s="6"/>
      <c r="K485" s="6"/>
      <c r="L485" s="6"/>
    </row>
    <row r="486" spans="10:12" ht="14.4">
      <c r="J486" s="6"/>
      <c r="K486" s="6"/>
      <c r="L486" s="6"/>
    </row>
    <row r="487" spans="10:12" ht="14.4">
      <c r="J487" s="6"/>
      <c r="K487" s="6"/>
      <c r="L487" s="6"/>
    </row>
    <row r="488" spans="10:12" ht="14.4">
      <c r="J488" s="6"/>
      <c r="K488" s="6"/>
      <c r="L488" s="6"/>
    </row>
    <row r="489" spans="10:12" ht="14.4">
      <c r="J489" s="6"/>
      <c r="K489" s="6"/>
      <c r="L489" s="6"/>
    </row>
    <row r="490" spans="10:12" ht="14.4">
      <c r="J490" s="6"/>
      <c r="K490" s="6"/>
      <c r="L490" s="6"/>
    </row>
    <row r="491" spans="10:12" ht="14.4">
      <c r="J491" s="6"/>
      <c r="K491" s="6"/>
      <c r="L491" s="6"/>
    </row>
    <row r="492" spans="10:12" ht="14.4">
      <c r="J492" s="6"/>
      <c r="K492" s="6"/>
      <c r="L492" s="6"/>
    </row>
    <row r="493" spans="10:12" ht="14.4">
      <c r="J493" s="6"/>
      <c r="K493" s="6"/>
      <c r="L493" s="6"/>
    </row>
    <row r="494" spans="10:12" ht="14.4">
      <c r="J494" s="6"/>
      <c r="K494" s="6"/>
      <c r="L494" s="6"/>
    </row>
    <row r="495" spans="10:12" ht="14.4">
      <c r="J495" s="6"/>
      <c r="K495" s="6"/>
      <c r="L495" s="6"/>
    </row>
    <row r="496" spans="10:12" ht="14.4">
      <c r="J496" s="6"/>
      <c r="K496" s="6"/>
      <c r="L496" s="6"/>
    </row>
    <row r="497" spans="10:12" ht="14.4">
      <c r="J497" s="6"/>
      <c r="K497" s="6"/>
      <c r="L497" s="6"/>
    </row>
    <row r="498" spans="10:12" ht="14.4">
      <c r="J498" s="6"/>
      <c r="K498" s="6"/>
      <c r="L498" s="6"/>
    </row>
    <row r="499" spans="10:12" ht="14.4">
      <c r="J499" s="6"/>
      <c r="K499" s="6"/>
      <c r="L499" s="6"/>
    </row>
    <row r="500" spans="10:12" ht="14.4">
      <c r="J500" s="6"/>
      <c r="K500" s="6"/>
      <c r="L500" s="6"/>
    </row>
    <row r="501" spans="10:12" ht="14.4">
      <c r="J501" s="6"/>
      <c r="K501" s="6"/>
      <c r="L501" s="6"/>
    </row>
    <row r="502" spans="10:12" ht="14.4">
      <c r="J502" s="6"/>
      <c r="K502" s="6"/>
      <c r="L502" s="6"/>
    </row>
    <row r="503" spans="10:12" ht="14.4">
      <c r="J503" s="6"/>
      <c r="K503" s="6"/>
      <c r="L503" s="6"/>
    </row>
    <row r="504" spans="10:12" ht="14.4">
      <c r="J504" s="6"/>
      <c r="K504" s="6"/>
      <c r="L504" s="6"/>
    </row>
    <row r="505" spans="10:12" ht="14.4">
      <c r="J505" s="6"/>
      <c r="K505" s="6"/>
      <c r="L505" s="6"/>
    </row>
    <row r="506" spans="10:12" ht="14.4">
      <c r="J506" s="6"/>
      <c r="K506" s="6"/>
      <c r="L506" s="6"/>
    </row>
    <row r="507" spans="10:12" ht="14.4">
      <c r="J507" s="6"/>
      <c r="K507" s="6"/>
      <c r="L507" s="6"/>
    </row>
    <row r="508" spans="10:12" ht="14.4">
      <c r="J508" s="6"/>
      <c r="K508" s="6"/>
      <c r="L508" s="6"/>
    </row>
    <row r="509" spans="10:12" ht="14.4">
      <c r="J509" s="6"/>
      <c r="K509" s="6"/>
      <c r="L509" s="6"/>
    </row>
    <row r="510" spans="10:12" ht="14.4">
      <c r="J510" s="6"/>
      <c r="K510" s="6"/>
      <c r="L510" s="6"/>
    </row>
    <row r="511" spans="10:12" ht="14.4">
      <c r="J511" s="6"/>
      <c r="K511" s="6"/>
      <c r="L511" s="6"/>
    </row>
    <row r="512" spans="10:12" ht="14.4">
      <c r="J512" s="6"/>
      <c r="K512" s="6"/>
      <c r="L512" s="6"/>
    </row>
    <row r="513" spans="10:12" ht="14.4">
      <c r="J513" s="6"/>
      <c r="K513" s="6"/>
      <c r="L513" s="6"/>
    </row>
    <row r="514" spans="10:12" ht="14.4">
      <c r="J514" s="6"/>
      <c r="K514" s="6"/>
      <c r="L514" s="6"/>
    </row>
    <row r="515" spans="10:12" ht="14.4">
      <c r="J515" s="6"/>
      <c r="K515" s="6"/>
      <c r="L515" s="6"/>
    </row>
    <row r="516" spans="10:12" ht="14.4">
      <c r="J516" s="6"/>
      <c r="K516" s="6"/>
      <c r="L516" s="6"/>
    </row>
    <row r="517" spans="10:12" ht="14.4">
      <c r="J517" s="6"/>
      <c r="K517" s="6"/>
      <c r="L517" s="6"/>
    </row>
    <row r="518" spans="10:12" ht="14.4">
      <c r="J518" s="6"/>
      <c r="K518" s="6"/>
      <c r="L518" s="6"/>
    </row>
    <row r="519" spans="10:12" ht="14.4">
      <c r="J519" s="6"/>
      <c r="K519" s="6"/>
      <c r="L519" s="6"/>
    </row>
    <row r="520" spans="10:12" ht="14.4">
      <c r="J520" s="6"/>
      <c r="K520" s="6"/>
      <c r="L520" s="6"/>
    </row>
    <row r="521" spans="10:12" ht="14.4">
      <c r="J521" s="6"/>
      <c r="K521" s="6"/>
      <c r="L521" s="6"/>
    </row>
    <row r="522" spans="10:12" ht="14.4">
      <c r="J522" s="6"/>
      <c r="K522" s="6"/>
      <c r="L522" s="6"/>
    </row>
    <row r="523" spans="10:12" ht="14.4">
      <c r="J523" s="6"/>
      <c r="K523" s="6"/>
      <c r="L523" s="6"/>
    </row>
    <row r="524" spans="10:12" ht="14.4">
      <c r="J524" s="6"/>
      <c r="K524" s="6"/>
      <c r="L524" s="6"/>
    </row>
    <row r="525" spans="10:12" ht="14.4">
      <c r="J525" s="6"/>
      <c r="K525" s="6"/>
      <c r="L525" s="6"/>
    </row>
    <row r="526" spans="10:12" ht="14.4">
      <c r="J526" s="6"/>
      <c r="K526" s="6"/>
      <c r="L526" s="6"/>
    </row>
    <row r="527" spans="10:12" ht="14.4">
      <c r="J527" s="6"/>
      <c r="K527" s="6"/>
      <c r="L527" s="6"/>
    </row>
    <row r="528" spans="10:12" ht="14.4">
      <c r="J528" s="6"/>
      <c r="K528" s="6"/>
      <c r="L528" s="6"/>
    </row>
    <row r="529" spans="10:12" ht="14.4">
      <c r="J529" s="6"/>
      <c r="K529" s="6"/>
      <c r="L529" s="6"/>
    </row>
    <row r="530" spans="10:12" ht="14.4">
      <c r="J530" s="6"/>
      <c r="K530" s="6"/>
      <c r="L530" s="6"/>
    </row>
    <row r="531" spans="10:12" ht="14.4">
      <c r="J531" s="6"/>
      <c r="K531" s="6"/>
      <c r="L531" s="6"/>
    </row>
    <row r="532" spans="10:12" ht="14.4">
      <c r="J532" s="6"/>
      <c r="K532" s="6"/>
      <c r="L532" s="6"/>
    </row>
    <row r="533" spans="10:12" ht="14.4">
      <c r="J533" s="6"/>
      <c r="K533" s="6"/>
      <c r="L533" s="6"/>
    </row>
    <row r="534" spans="10:12" ht="14.4">
      <c r="J534" s="6"/>
      <c r="K534" s="6"/>
      <c r="L534" s="6"/>
    </row>
    <row r="535" spans="10:12" ht="14.4">
      <c r="J535" s="6"/>
      <c r="K535" s="6"/>
      <c r="L535" s="6"/>
    </row>
    <row r="536" spans="10:12" ht="14.4">
      <c r="J536" s="6"/>
      <c r="K536" s="6"/>
      <c r="L536" s="6"/>
    </row>
    <row r="537" spans="10:12" ht="14.4">
      <c r="J537" s="6"/>
      <c r="K537" s="6"/>
      <c r="L537" s="6"/>
    </row>
    <row r="538" spans="10:12" ht="14.4">
      <c r="J538" s="6"/>
      <c r="K538" s="6"/>
      <c r="L538" s="6"/>
    </row>
    <row r="539" spans="10:12" ht="14.4">
      <c r="J539" s="6"/>
      <c r="K539" s="6"/>
      <c r="L539" s="6"/>
    </row>
    <row r="540" spans="10:12" ht="14.4">
      <c r="J540" s="6"/>
      <c r="K540" s="6"/>
      <c r="L540" s="6"/>
    </row>
    <row r="541" spans="10:12" ht="14.4">
      <c r="J541" s="6"/>
      <c r="K541" s="6"/>
      <c r="L541" s="6"/>
    </row>
    <row r="542" spans="10:12" ht="14.4">
      <c r="J542" s="6"/>
      <c r="K542" s="6"/>
      <c r="L542" s="6"/>
    </row>
    <row r="543" spans="10:12" ht="14.4">
      <c r="J543" s="6"/>
      <c r="K543" s="6"/>
      <c r="L543" s="6"/>
    </row>
    <row r="544" spans="10:12" ht="14.4">
      <c r="J544" s="6"/>
      <c r="K544" s="6"/>
      <c r="L544" s="6"/>
    </row>
    <row r="545" spans="10:12" ht="14.4">
      <c r="J545" s="6"/>
      <c r="K545" s="6"/>
      <c r="L545" s="6"/>
    </row>
    <row r="546" spans="10:12" ht="14.4">
      <c r="J546" s="6"/>
      <c r="K546" s="6"/>
      <c r="L546" s="6"/>
    </row>
    <row r="547" spans="10:12" ht="14.4">
      <c r="J547" s="6"/>
      <c r="K547" s="6"/>
      <c r="L547" s="6"/>
    </row>
    <row r="548" spans="10:12" ht="14.4">
      <c r="J548" s="6"/>
      <c r="K548" s="6"/>
      <c r="L548" s="6"/>
    </row>
    <row r="549" spans="10:12" ht="14.4">
      <c r="J549" s="6"/>
      <c r="K549" s="6"/>
      <c r="L549" s="6"/>
    </row>
    <row r="550" spans="10:12" ht="14.4">
      <c r="J550" s="6"/>
      <c r="K550" s="6"/>
      <c r="L550" s="6"/>
    </row>
    <row r="551" spans="10:12" ht="14.4">
      <c r="J551" s="6"/>
      <c r="K551" s="6"/>
      <c r="L551" s="6"/>
    </row>
    <row r="552" spans="10:12" ht="14.4">
      <c r="J552" s="6"/>
      <c r="K552" s="6"/>
      <c r="L552" s="6"/>
    </row>
    <row r="553" spans="10:12" ht="14.4">
      <c r="J553" s="6"/>
      <c r="K553" s="6"/>
      <c r="L553" s="6"/>
    </row>
    <row r="554" spans="10:12" ht="14.4">
      <c r="J554" s="6"/>
      <c r="K554" s="6"/>
      <c r="L554" s="6"/>
    </row>
    <row r="555" spans="10:12" ht="14.4">
      <c r="J555" s="6"/>
      <c r="K555" s="6"/>
      <c r="L555" s="6"/>
    </row>
    <row r="556" spans="10:12" ht="14.4">
      <c r="J556" s="6"/>
      <c r="K556" s="6"/>
      <c r="L556" s="6"/>
    </row>
    <row r="557" spans="10:12" ht="14.4">
      <c r="J557" s="6"/>
      <c r="K557" s="6"/>
      <c r="L557" s="6"/>
    </row>
    <row r="558" spans="10:12" ht="14.4">
      <c r="J558" s="6"/>
      <c r="K558" s="6"/>
      <c r="L558" s="6"/>
    </row>
    <row r="559" spans="10:12" ht="14.4">
      <c r="J559" s="6"/>
      <c r="K559" s="6"/>
      <c r="L559" s="6"/>
    </row>
    <row r="560" spans="10:12" ht="14.4">
      <c r="J560" s="6"/>
      <c r="K560" s="6"/>
      <c r="L560" s="6"/>
    </row>
    <row r="561" spans="10:12" ht="14.4">
      <c r="J561" s="6"/>
      <c r="K561" s="6"/>
      <c r="L561" s="6"/>
    </row>
    <row r="562" spans="10:12" ht="14.4">
      <c r="J562" s="6"/>
      <c r="K562" s="6"/>
      <c r="L562" s="6"/>
    </row>
    <row r="563" spans="10:12" ht="14.4">
      <c r="J563" s="6"/>
      <c r="K563" s="6"/>
      <c r="L563" s="6"/>
    </row>
    <row r="564" spans="10:12" ht="14.4">
      <c r="J564" s="6"/>
      <c r="K564" s="6"/>
      <c r="L564" s="6"/>
    </row>
    <row r="565" spans="10:12" ht="14.4">
      <c r="J565" s="6"/>
      <c r="K565" s="6"/>
      <c r="L565" s="6"/>
    </row>
    <row r="566" spans="10:12" ht="14.4">
      <c r="J566" s="6"/>
      <c r="K566" s="6"/>
      <c r="L566" s="6"/>
    </row>
    <row r="567" spans="10:12" ht="14.4">
      <c r="J567" s="6"/>
      <c r="K567" s="6"/>
      <c r="L567" s="6"/>
    </row>
    <row r="568" spans="10:12" ht="14.4">
      <c r="J568" s="6"/>
      <c r="K568" s="6"/>
      <c r="L568" s="6"/>
    </row>
    <row r="569" spans="10:12" ht="14.4">
      <c r="J569" s="6"/>
      <c r="K569" s="6"/>
      <c r="L569" s="6"/>
    </row>
    <row r="570" spans="10:12" ht="14.4">
      <c r="J570" s="6"/>
      <c r="K570" s="6"/>
      <c r="L570" s="6"/>
    </row>
    <row r="571" spans="10:12" ht="14.4">
      <c r="J571" s="6"/>
      <c r="K571" s="6"/>
      <c r="L571" s="6"/>
    </row>
    <row r="572" spans="10:12" ht="14.4">
      <c r="J572" s="6"/>
      <c r="K572" s="6"/>
      <c r="L572" s="6"/>
    </row>
    <row r="573" spans="10:12" ht="14.4">
      <c r="J573" s="6"/>
      <c r="K573" s="6"/>
      <c r="L573" s="6"/>
    </row>
    <row r="574" spans="10:12" ht="14.4">
      <c r="J574" s="6"/>
      <c r="K574" s="6"/>
      <c r="L574" s="6"/>
    </row>
    <row r="575" spans="10:12" ht="14.4">
      <c r="J575" s="6"/>
      <c r="K575" s="6"/>
      <c r="L575" s="6"/>
    </row>
    <row r="576" spans="10:12" ht="14.4">
      <c r="J576" s="6"/>
      <c r="K576" s="6"/>
      <c r="L576" s="6"/>
    </row>
    <row r="577" spans="10:12" ht="14.4">
      <c r="J577" s="6"/>
      <c r="K577" s="6"/>
      <c r="L577" s="6"/>
    </row>
    <row r="578" spans="10:12" ht="14.4">
      <c r="J578" s="6"/>
      <c r="K578" s="6"/>
      <c r="L578" s="6"/>
    </row>
    <row r="579" spans="10:12" ht="14.4">
      <c r="J579" s="6"/>
      <c r="K579" s="6"/>
      <c r="L579" s="6"/>
    </row>
    <row r="580" spans="10:12" ht="14.4">
      <c r="J580" s="6"/>
      <c r="K580" s="6"/>
      <c r="L580" s="6"/>
    </row>
    <row r="581" spans="10:12" ht="14.4">
      <c r="J581" s="6"/>
      <c r="K581" s="6"/>
      <c r="L581" s="6"/>
    </row>
    <row r="582" spans="10:12" ht="14.4">
      <c r="J582" s="6"/>
      <c r="K582" s="6"/>
      <c r="L582" s="6"/>
    </row>
    <row r="583" spans="10:12" ht="14.4">
      <c r="J583" s="6"/>
      <c r="K583" s="6"/>
      <c r="L583" s="6"/>
    </row>
    <row r="584" spans="10:12" ht="14.4">
      <c r="J584" s="6"/>
      <c r="K584" s="6"/>
      <c r="L584" s="6"/>
    </row>
    <row r="585" spans="10:12" ht="14.4">
      <c r="J585" s="6"/>
      <c r="K585" s="6"/>
      <c r="L585" s="6"/>
    </row>
    <row r="586" spans="10:12" ht="14.4">
      <c r="J586" s="6"/>
      <c r="K586" s="6"/>
      <c r="L586" s="6"/>
    </row>
    <row r="587" spans="10:12" ht="14.4">
      <c r="J587" s="6"/>
      <c r="K587" s="6"/>
      <c r="L587" s="6"/>
    </row>
    <row r="588" spans="10:12" ht="14.4">
      <c r="J588" s="6"/>
      <c r="K588" s="6"/>
      <c r="L588" s="6"/>
    </row>
    <row r="589" spans="10:12" ht="14.4">
      <c r="J589" s="6"/>
      <c r="K589" s="6"/>
      <c r="L589" s="6"/>
    </row>
    <row r="590" spans="10:12" ht="14.4">
      <c r="J590" s="6"/>
      <c r="K590" s="6"/>
      <c r="L590" s="6"/>
    </row>
    <row r="591" spans="10:12" ht="14.4">
      <c r="J591" s="6"/>
      <c r="K591" s="6"/>
      <c r="L591" s="6"/>
    </row>
    <row r="592" spans="10:12" ht="14.4">
      <c r="J592" s="6"/>
      <c r="K592" s="6"/>
      <c r="L592" s="6"/>
    </row>
    <row r="593" spans="10:12" ht="14.4">
      <c r="J593" s="6"/>
      <c r="K593" s="6"/>
      <c r="L593" s="6"/>
    </row>
    <row r="594" spans="10:12" ht="14.4">
      <c r="J594" s="6"/>
      <c r="K594" s="6"/>
      <c r="L594" s="6"/>
    </row>
    <row r="595" spans="10:12" ht="14.4">
      <c r="J595" s="6"/>
      <c r="K595" s="6"/>
      <c r="L595" s="6"/>
    </row>
    <row r="596" spans="10:12" ht="14.4">
      <c r="J596" s="6"/>
      <c r="K596" s="6"/>
      <c r="L596" s="6"/>
    </row>
    <row r="597" spans="10:12" ht="14.4">
      <c r="J597" s="6"/>
      <c r="K597" s="6"/>
      <c r="L597" s="6"/>
    </row>
    <row r="598" spans="10:12" ht="14.4">
      <c r="J598" s="6"/>
      <c r="K598" s="6"/>
      <c r="L598" s="6"/>
    </row>
    <row r="599" spans="10:12" ht="14.4">
      <c r="J599" s="6"/>
      <c r="K599" s="6"/>
      <c r="L599" s="6"/>
    </row>
    <row r="600" spans="10:12" ht="14.4">
      <c r="J600" s="6"/>
      <c r="K600" s="6"/>
      <c r="L600" s="6"/>
    </row>
    <row r="601" spans="10:12" ht="14.4">
      <c r="J601" s="6"/>
      <c r="K601" s="6"/>
      <c r="L601" s="6"/>
    </row>
    <row r="602" spans="10:12" ht="14.4">
      <c r="J602" s="6"/>
      <c r="K602" s="6"/>
      <c r="L602" s="6"/>
    </row>
    <row r="603" spans="10:12" ht="14.4">
      <c r="J603" s="6"/>
      <c r="K603" s="6"/>
      <c r="L603" s="6"/>
    </row>
    <row r="604" spans="10:12" ht="14.4">
      <c r="J604" s="6"/>
      <c r="K604" s="6"/>
      <c r="L604" s="6"/>
    </row>
    <row r="605" spans="10:12" ht="14.4">
      <c r="J605" s="6"/>
      <c r="K605" s="6"/>
      <c r="L605" s="6"/>
    </row>
    <row r="606" spans="10:12" ht="14.4">
      <c r="J606" s="6"/>
      <c r="K606" s="6"/>
      <c r="L606" s="6"/>
    </row>
    <row r="607" spans="10:12" ht="14.4">
      <c r="J607" s="6"/>
      <c r="K607" s="6"/>
      <c r="L607" s="6"/>
    </row>
    <row r="608" spans="10:12" ht="14.4">
      <c r="J608" s="6"/>
      <c r="K608" s="6"/>
      <c r="L608" s="6"/>
    </row>
    <row r="609" spans="10:12" ht="14.4">
      <c r="J609" s="6"/>
      <c r="K609" s="6"/>
      <c r="L609" s="6"/>
    </row>
    <row r="610" spans="10:12" ht="14.4">
      <c r="J610" s="6"/>
      <c r="K610" s="6"/>
      <c r="L610" s="6"/>
    </row>
    <row r="611" spans="10:12" ht="14.4">
      <c r="J611" s="6"/>
      <c r="K611" s="6"/>
      <c r="L611" s="6"/>
    </row>
    <row r="612" spans="10:12" ht="14.4">
      <c r="J612" s="6"/>
      <c r="K612" s="6"/>
      <c r="L612" s="6"/>
    </row>
    <row r="613" spans="10:12" ht="14.4">
      <c r="J613" s="6"/>
      <c r="K613" s="6"/>
      <c r="L613" s="6"/>
    </row>
    <row r="614" spans="10:12" ht="14.4">
      <c r="J614" s="6"/>
      <c r="K614" s="6"/>
      <c r="L614" s="6"/>
    </row>
    <row r="615" spans="10:12" ht="14.4">
      <c r="J615" s="6"/>
      <c r="K615" s="6"/>
      <c r="L615" s="6"/>
    </row>
    <row r="616" spans="10:12" ht="14.4">
      <c r="J616" s="6"/>
      <c r="K616" s="6"/>
      <c r="L616" s="6"/>
    </row>
    <row r="617" spans="10:12" ht="14.4">
      <c r="J617" s="6"/>
      <c r="K617" s="6"/>
      <c r="L617" s="6"/>
    </row>
    <row r="618" spans="10:12" ht="14.4">
      <c r="J618" s="6"/>
      <c r="K618" s="6"/>
      <c r="L618" s="6"/>
    </row>
    <row r="619" spans="10:12" ht="14.4">
      <c r="J619" s="6"/>
      <c r="K619" s="6"/>
      <c r="L619" s="6"/>
    </row>
    <row r="620" spans="10:12" ht="14.4">
      <c r="J620" s="6"/>
      <c r="K620" s="6"/>
      <c r="L620" s="6"/>
    </row>
    <row r="621" spans="10:12" ht="14.4">
      <c r="J621" s="6"/>
      <c r="K621" s="6"/>
      <c r="L621" s="6"/>
    </row>
    <row r="622" spans="10:12" ht="14.4">
      <c r="J622" s="6"/>
      <c r="K622" s="6"/>
      <c r="L622" s="6"/>
    </row>
    <row r="623" spans="10:12" ht="14.4">
      <c r="J623" s="6"/>
      <c r="K623" s="6"/>
      <c r="L623" s="6"/>
    </row>
    <row r="624" spans="10:12" ht="14.4">
      <c r="J624" s="6"/>
      <c r="K624" s="6"/>
      <c r="L624" s="6"/>
    </row>
    <row r="625" spans="10:12" ht="14.4">
      <c r="J625" s="6"/>
      <c r="K625" s="6"/>
      <c r="L625" s="6"/>
    </row>
    <row r="626" spans="10:12" ht="14.4">
      <c r="J626" s="6"/>
      <c r="K626" s="6"/>
      <c r="L626" s="6"/>
    </row>
    <row r="627" spans="10:12" ht="14.4">
      <c r="J627" s="6"/>
      <c r="K627" s="6"/>
      <c r="L627" s="6"/>
    </row>
    <row r="628" spans="10:12" ht="14.4">
      <c r="J628" s="6"/>
      <c r="K628" s="6"/>
      <c r="L628" s="6"/>
    </row>
    <row r="629" spans="10:12" ht="14.4">
      <c r="J629" s="6"/>
      <c r="K629" s="6"/>
      <c r="L629" s="6"/>
    </row>
    <row r="630" spans="10:12" ht="14.4">
      <c r="J630" s="6"/>
      <c r="K630" s="6"/>
      <c r="L630" s="6"/>
    </row>
    <row r="631" spans="10:12" ht="14.4">
      <c r="J631" s="6"/>
      <c r="K631" s="6"/>
      <c r="L631" s="6"/>
    </row>
    <row r="632" spans="10:12" ht="14.4">
      <c r="J632" s="6"/>
      <c r="K632" s="6"/>
      <c r="L632" s="6"/>
    </row>
    <row r="633" spans="10:12" ht="14.4">
      <c r="J633" s="6"/>
      <c r="K633" s="6"/>
      <c r="L633" s="6"/>
    </row>
    <row r="634" spans="10:12" ht="14.4">
      <c r="J634" s="6"/>
      <c r="K634" s="6"/>
      <c r="L634" s="6"/>
    </row>
    <row r="635" spans="10:12" ht="14.4">
      <c r="J635" s="6"/>
      <c r="K635" s="6"/>
      <c r="L635" s="6"/>
    </row>
    <row r="636" spans="10:12" ht="14.4">
      <c r="J636" s="6"/>
      <c r="K636" s="6"/>
      <c r="L636" s="6"/>
    </row>
    <row r="637" spans="10:12" ht="14.4">
      <c r="J637" s="6"/>
      <c r="K637" s="6"/>
      <c r="L637" s="6"/>
    </row>
    <row r="638" spans="10:12" ht="14.4">
      <c r="J638" s="6"/>
      <c r="K638" s="6"/>
      <c r="L638" s="6"/>
    </row>
    <row r="639" spans="10:12" ht="14.4">
      <c r="J639" s="6"/>
      <c r="K639" s="6"/>
      <c r="L639" s="6"/>
    </row>
    <row r="640" spans="10:12" ht="14.4">
      <c r="J640" s="6"/>
      <c r="K640" s="6"/>
      <c r="L640" s="6"/>
    </row>
    <row r="641" spans="10:12" ht="14.4">
      <c r="J641" s="6"/>
      <c r="K641" s="6"/>
      <c r="L641" s="6"/>
    </row>
    <row r="642" spans="10:12" ht="14.4">
      <c r="J642" s="6"/>
      <c r="K642" s="6"/>
      <c r="L642" s="6"/>
    </row>
    <row r="643" spans="10:12" ht="14.4">
      <c r="J643" s="6"/>
      <c r="K643" s="6"/>
      <c r="L643" s="6"/>
    </row>
    <row r="644" spans="10:12" ht="14.4">
      <c r="J644" s="6"/>
      <c r="K644" s="6"/>
      <c r="L644" s="6"/>
    </row>
    <row r="645" spans="10:12" ht="14.4">
      <c r="J645" s="6"/>
      <c r="K645" s="6"/>
      <c r="L645" s="6"/>
    </row>
    <row r="646" spans="10:12" ht="14.4">
      <c r="J646" s="6"/>
      <c r="K646" s="6"/>
      <c r="L646" s="6"/>
    </row>
    <row r="647" spans="10:12" ht="14.4">
      <c r="J647" s="6"/>
      <c r="K647" s="6"/>
      <c r="L647" s="6"/>
    </row>
    <row r="648" spans="10:12" ht="14.4">
      <c r="J648" s="6"/>
      <c r="K648" s="6"/>
      <c r="L648" s="6"/>
    </row>
    <row r="649" spans="10:12" ht="14.4">
      <c r="J649" s="6"/>
      <c r="K649" s="6"/>
      <c r="L649" s="6"/>
    </row>
    <row r="650" spans="10:12" ht="14.4">
      <c r="J650" s="6"/>
      <c r="K650" s="6"/>
      <c r="L650" s="6"/>
    </row>
    <row r="651" spans="10:12" ht="14.4">
      <c r="J651" s="6"/>
      <c r="K651" s="6"/>
      <c r="L651" s="6"/>
    </row>
    <row r="652" spans="10:12" ht="14.4">
      <c r="J652" s="6"/>
      <c r="K652" s="6"/>
      <c r="L652" s="6"/>
    </row>
    <row r="653" spans="10:12" ht="14.4">
      <c r="J653" s="6"/>
      <c r="K653" s="6"/>
      <c r="L653" s="6"/>
    </row>
    <row r="654" spans="10:12" ht="14.4">
      <c r="J654" s="6"/>
      <c r="K654" s="6"/>
      <c r="L654" s="6"/>
    </row>
    <row r="655" spans="10:12" ht="14.4">
      <c r="J655" s="6"/>
      <c r="K655" s="6"/>
      <c r="L655" s="6"/>
    </row>
    <row r="656" spans="10:12" ht="14.4">
      <c r="J656" s="6"/>
      <c r="K656" s="6"/>
      <c r="L656" s="6"/>
    </row>
    <row r="657" spans="10:12" ht="14.4">
      <c r="J657" s="6"/>
      <c r="K657" s="6"/>
      <c r="L657" s="6"/>
    </row>
    <row r="658" spans="10:12" ht="14.4">
      <c r="J658" s="6"/>
      <c r="K658" s="6"/>
      <c r="L658" s="6"/>
    </row>
    <row r="659" spans="10:12" ht="14.4">
      <c r="J659" s="6"/>
      <c r="K659" s="6"/>
      <c r="L659" s="6"/>
    </row>
    <row r="660" spans="10:12" ht="14.4">
      <c r="J660" s="6"/>
      <c r="K660" s="6"/>
      <c r="L660" s="6"/>
    </row>
    <row r="661" spans="10:12" ht="14.4">
      <c r="J661" s="6"/>
      <c r="K661" s="6"/>
      <c r="L661" s="6"/>
    </row>
    <row r="662" spans="10:12" ht="14.4">
      <c r="J662" s="6"/>
      <c r="K662" s="6"/>
      <c r="L662" s="6"/>
    </row>
    <row r="663" spans="10:12" ht="14.4">
      <c r="J663" s="6"/>
      <c r="K663" s="6"/>
      <c r="L663" s="6"/>
    </row>
    <row r="664" spans="10:12" ht="14.4">
      <c r="J664" s="6"/>
      <c r="K664" s="6"/>
      <c r="L664" s="6"/>
    </row>
    <row r="665" spans="10:12" ht="14.4">
      <c r="J665" s="6"/>
      <c r="K665" s="6"/>
      <c r="L665" s="6"/>
    </row>
    <row r="666" spans="10:12" ht="14.4">
      <c r="J666" s="6"/>
      <c r="K666" s="6"/>
      <c r="L666" s="6"/>
    </row>
    <row r="667" spans="10:12" ht="14.4">
      <c r="J667" s="6"/>
      <c r="K667" s="6"/>
      <c r="L667" s="6"/>
    </row>
    <row r="668" spans="10:12" ht="14.4">
      <c r="J668" s="6"/>
      <c r="K668" s="6"/>
      <c r="L668" s="6"/>
    </row>
    <row r="669" spans="10:12" ht="14.4">
      <c r="J669" s="6"/>
      <c r="K669" s="6"/>
      <c r="L669" s="6"/>
    </row>
    <row r="670" spans="10:12" ht="14.4">
      <c r="J670" s="6"/>
      <c r="K670" s="6"/>
      <c r="L670" s="6"/>
    </row>
    <row r="671" spans="10:12" ht="14.4">
      <c r="J671" s="6"/>
      <c r="K671" s="6"/>
      <c r="L671" s="6"/>
    </row>
    <row r="672" spans="10:12" ht="14.4">
      <c r="J672" s="6"/>
      <c r="K672" s="6"/>
      <c r="L672" s="6"/>
    </row>
    <row r="673" spans="10:12" ht="14.4">
      <c r="J673" s="6"/>
      <c r="K673" s="6"/>
      <c r="L673" s="6"/>
    </row>
    <row r="674" spans="10:12" ht="14.4">
      <c r="J674" s="6"/>
      <c r="K674" s="6"/>
      <c r="L674" s="6"/>
    </row>
    <row r="675" spans="10:12" ht="14.4">
      <c r="J675" s="6"/>
      <c r="K675" s="6"/>
      <c r="L675" s="6"/>
    </row>
    <row r="676" spans="10:12" ht="14.4">
      <c r="J676" s="6"/>
      <c r="K676" s="6"/>
      <c r="L676" s="6"/>
    </row>
    <row r="677" spans="10:12" ht="14.4">
      <c r="J677" s="6"/>
      <c r="K677" s="6"/>
      <c r="L677" s="6"/>
    </row>
    <row r="678" spans="10:12" ht="14.4">
      <c r="J678" s="6"/>
      <c r="K678" s="6"/>
      <c r="L678" s="6"/>
    </row>
    <row r="679" spans="10:12" ht="14.4">
      <c r="J679" s="6"/>
      <c r="K679" s="6"/>
      <c r="L679" s="6"/>
    </row>
    <row r="680" spans="10:12" ht="14.4">
      <c r="J680" s="6"/>
      <c r="K680" s="6"/>
      <c r="L680" s="6"/>
    </row>
    <row r="681" spans="10:12" ht="14.4">
      <c r="J681" s="6"/>
      <c r="K681" s="6"/>
      <c r="L681" s="6"/>
    </row>
    <row r="682" spans="10:12" ht="14.4">
      <c r="J682" s="6"/>
      <c r="K682" s="6"/>
      <c r="L682" s="6"/>
    </row>
    <row r="683" spans="10:12" ht="14.4">
      <c r="J683" s="6"/>
      <c r="K683" s="6"/>
      <c r="L683" s="6"/>
    </row>
    <row r="684" spans="10:12" ht="14.4">
      <c r="J684" s="6"/>
      <c r="K684" s="6"/>
      <c r="L684" s="6"/>
    </row>
    <row r="685" spans="10:12" ht="14.4">
      <c r="J685" s="6"/>
      <c r="K685" s="6"/>
      <c r="L685" s="6"/>
    </row>
    <row r="686" spans="10:12" ht="14.4">
      <c r="J686" s="6"/>
      <c r="K686" s="6"/>
      <c r="L686" s="6"/>
    </row>
    <row r="687" spans="10:12" ht="14.4">
      <c r="J687" s="6"/>
      <c r="K687" s="6"/>
      <c r="L687" s="6"/>
    </row>
    <row r="688" spans="10:12" ht="14.4">
      <c r="J688" s="6"/>
      <c r="K688" s="6"/>
      <c r="L688" s="6"/>
    </row>
    <row r="689" spans="10:12" ht="14.4">
      <c r="J689" s="6"/>
      <c r="K689" s="6"/>
      <c r="L689" s="6"/>
    </row>
    <row r="690" spans="10:12" ht="14.4">
      <c r="J690" s="6"/>
      <c r="K690" s="6"/>
      <c r="L690" s="6"/>
    </row>
    <row r="691" spans="10:12" ht="14.4">
      <c r="J691" s="6"/>
      <c r="K691" s="6"/>
      <c r="L691" s="6"/>
    </row>
    <row r="692" spans="10:12" ht="14.4">
      <c r="J692" s="6"/>
      <c r="K692" s="6"/>
      <c r="L692" s="6"/>
    </row>
    <row r="693" spans="10:12" ht="14.4">
      <c r="J693" s="6"/>
      <c r="K693" s="6"/>
      <c r="L693" s="6"/>
    </row>
    <row r="694" spans="10:12" ht="14.4">
      <c r="J694" s="6"/>
      <c r="K694" s="6"/>
      <c r="L694" s="6"/>
    </row>
    <row r="695" spans="10:12" ht="14.4">
      <c r="J695" s="6"/>
      <c r="K695" s="6"/>
      <c r="L695" s="6"/>
    </row>
    <row r="696" spans="10:12" ht="14.4">
      <c r="J696" s="6"/>
      <c r="K696" s="6"/>
      <c r="L696" s="6"/>
    </row>
    <row r="697" spans="10:12" ht="14.4">
      <c r="J697" s="6"/>
      <c r="K697" s="6"/>
      <c r="L697" s="6"/>
    </row>
    <row r="698" spans="10:12" ht="14.4">
      <c r="J698" s="6"/>
      <c r="K698" s="6"/>
      <c r="L698" s="6"/>
    </row>
    <row r="699" spans="10:12" ht="14.4">
      <c r="J699" s="6"/>
      <c r="K699" s="6"/>
      <c r="L699" s="6"/>
    </row>
    <row r="700" spans="10:12" ht="14.4">
      <c r="J700" s="6"/>
      <c r="K700" s="6"/>
      <c r="L700" s="6"/>
    </row>
    <row r="701" spans="10:12" ht="14.4">
      <c r="J701" s="6"/>
      <c r="K701" s="6"/>
      <c r="L701" s="6"/>
    </row>
    <row r="702" spans="10:12" ht="14.4">
      <c r="J702" s="6"/>
      <c r="K702" s="6"/>
      <c r="L702" s="6"/>
    </row>
    <row r="703" spans="10:12" ht="14.4">
      <c r="J703" s="6"/>
      <c r="K703" s="6"/>
      <c r="L703" s="6"/>
    </row>
    <row r="704" spans="10:12" ht="14.4">
      <c r="J704" s="6"/>
      <c r="K704" s="6"/>
      <c r="L704" s="6"/>
    </row>
    <row r="705" spans="10:12" ht="14.4">
      <c r="J705" s="6"/>
      <c r="K705" s="6"/>
      <c r="L705" s="6"/>
    </row>
    <row r="706" spans="10:12" ht="14.4">
      <c r="J706" s="6"/>
      <c r="K706" s="6"/>
      <c r="L706" s="6"/>
    </row>
    <row r="707" spans="10:12" ht="14.4">
      <c r="J707" s="6"/>
      <c r="K707" s="6"/>
      <c r="L707" s="6"/>
    </row>
    <row r="708" spans="10:12" ht="14.4">
      <c r="J708" s="6"/>
      <c r="K708" s="6"/>
      <c r="L708" s="6"/>
    </row>
    <row r="709" spans="10:12" ht="14.4">
      <c r="J709" s="6"/>
      <c r="K709" s="6"/>
      <c r="L709" s="6"/>
    </row>
    <row r="710" spans="10:12" ht="14.4">
      <c r="J710" s="6"/>
      <c r="K710" s="6"/>
      <c r="L710" s="6"/>
    </row>
    <row r="711" spans="10:12" ht="14.4">
      <c r="J711" s="6"/>
      <c r="K711" s="6"/>
      <c r="L711" s="6"/>
    </row>
    <row r="712" spans="10:12" ht="14.4">
      <c r="J712" s="6"/>
      <c r="K712" s="6"/>
      <c r="L712" s="6"/>
    </row>
    <row r="713" spans="10:12" ht="14.4">
      <c r="J713" s="6"/>
      <c r="K713" s="6"/>
      <c r="L713" s="6"/>
    </row>
    <row r="714" spans="10:12" ht="14.4">
      <c r="J714" s="6"/>
      <c r="K714" s="6"/>
      <c r="L714" s="6"/>
    </row>
    <row r="715" spans="10:12" ht="14.4">
      <c r="J715" s="6"/>
      <c r="K715" s="6"/>
      <c r="L715" s="6"/>
    </row>
    <row r="716" spans="10:12" ht="14.4">
      <c r="J716" s="6"/>
      <c r="K716" s="6"/>
      <c r="L716" s="6"/>
    </row>
    <row r="717" spans="10:12" ht="14.4">
      <c r="J717" s="6"/>
      <c r="K717" s="6"/>
      <c r="L717" s="6"/>
    </row>
    <row r="718" spans="10:12" ht="14.4">
      <c r="J718" s="6"/>
      <c r="K718" s="6"/>
      <c r="L718" s="6"/>
    </row>
    <row r="719" spans="10:12" ht="14.4">
      <c r="J719" s="6"/>
      <c r="K719" s="6"/>
      <c r="L719" s="6"/>
    </row>
    <row r="720" spans="10:12" ht="14.4">
      <c r="J720" s="6"/>
      <c r="K720" s="6"/>
      <c r="L720" s="6"/>
    </row>
    <row r="721" spans="10:12" ht="14.4">
      <c r="J721" s="6"/>
      <c r="K721" s="6"/>
      <c r="L721" s="6"/>
    </row>
    <row r="722" spans="10:12" ht="14.4">
      <c r="J722" s="6"/>
      <c r="K722" s="6"/>
      <c r="L722" s="6"/>
    </row>
    <row r="723" spans="10:12" ht="14.4">
      <c r="J723" s="6"/>
      <c r="K723" s="6"/>
      <c r="L723" s="6"/>
    </row>
    <row r="724" spans="10:12" ht="14.4">
      <c r="J724" s="6"/>
      <c r="K724" s="6"/>
      <c r="L724" s="6"/>
    </row>
    <row r="725" spans="10:12" ht="14.4">
      <c r="J725" s="6"/>
      <c r="K725" s="6"/>
      <c r="L725" s="6"/>
    </row>
    <row r="726" spans="10:12" ht="14.4">
      <c r="J726" s="6"/>
      <c r="K726" s="6"/>
      <c r="L726" s="6"/>
    </row>
    <row r="727" spans="10:12" ht="14.4">
      <c r="J727" s="6"/>
      <c r="K727" s="6"/>
      <c r="L727" s="6"/>
    </row>
    <row r="728" spans="10:12" ht="14.4">
      <c r="J728" s="6"/>
      <c r="K728" s="6"/>
      <c r="L728" s="6"/>
    </row>
    <row r="729" spans="10:12" ht="14.4">
      <c r="J729" s="6"/>
      <c r="K729" s="6"/>
      <c r="L729" s="6"/>
    </row>
    <row r="730" spans="10:12" ht="14.4">
      <c r="J730" s="6"/>
      <c r="K730" s="6"/>
      <c r="L730" s="6"/>
    </row>
    <row r="731" spans="10:12" ht="14.4">
      <c r="J731" s="6"/>
      <c r="K731" s="6"/>
      <c r="L731" s="6"/>
    </row>
    <row r="732" spans="10:12" ht="14.4">
      <c r="J732" s="6"/>
      <c r="K732" s="6"/>
      <c r="L732" s="6"/>
    </row>
    <row r="733" spans="10:12" ht="14.4">
      <c r="J733" s="6"/>
      <c r="K733" s="6"/>
      <c r="L733" s="6"/>
    </row>
    <row r="734" spans="10:12" ht="14.4">
      <c r="J734" s="6"/>
      <c r="K734" s="6"/>
      <c r="L734" s="6"/>
    </row>
    <row r="735" spans="10:12" ht="14.4">
      <c r="J735" s="6"/>
      <c r="K735" s="6"/>
      <c r="L735" s="6"/>
    </row>
    <row r="736" spans="10:12" ht="14.4">
      <c r="J736" s="6"/>
      <c r="K736" s="6"/>
      <c r="L736" s="6"/>
    </row>
    <row r="737" spans="10:12" ht="14.4">
      <c r="J737" s="6"/>
      <c r="K737" s="6"/>
      <c r="L737" s="6"/>
    </row>
    <row r="738" spans="10:12" ht="14.4">
      <c r="J738" s="6"/>
      <c r="K738" s="6"/>
      <c r="L738" s="6"/>
    </row>
    <row r="739" spans="10:12" ht="14.4">
      <c r="J739" s="6"/>
      <c r="K739" s="6"/>
      <c r="L739" s="6"/>
    </row>
    <row r="740" spans="10:12" ht="14.4">
      <c r="J740" s="6"/>
      <c r="K740" s="6"/>
      <c r="L740" s="6"/>
    </row>
    <row r="741" spans="10:12" ht="14.4">
      <c r="J741" s="6"/>
      <c r="K741" s="6"/>
      <c r="L741" s="6"/>
    </row>
    <row r="742" spans="10:12" ht="14.4">
      <c r="J742" s="6"/>
      <c r="K742" s="6"/>
      <c r="L742" s="6"/>
    </row>
    <row r="743" spans="10:12" ht="14.4">
      <c r="J743" s="6"/>
      <c r="K743" s="6"/>
      <c r="L743" s="6"/>
    </row>
    <row r="744" spans="10:12" ht="14.4">
      <c r="J744" s="6"/>
      <c r="K744" s="6"/>
      <c r="L744" s="6"/>
    </row>
    <row r="745" spans="10:12" ht="14.4">
      <c r="J745" s="6"/>
      <c r="K745" s="6"/>
      <c r="L745" s="6"/>
    </row>
    <row r="746" spans="10:12" ht="14.4">
      <c r="J746" s="6"/>
      <c r="K746" s="6"/>
      <c r="L746" s="6"/>
    </row>
    <row r="747" spans="10:12" ht="14.4">
      <c r="J747" s="6"/>
      <c r="K747" s="6"/>
      <c r="L747" s="6"/>
    </row>
    <row r="748" spans="10:12" ht="14.4">
      <c r="J748" s="6"/>
      <c r="K748" s="6"/>
      <c r="L748" s="6"/>
    </row>
    <row r="749" spans="10:12" ht="14.4">
      <c r="J749" s="6"/>
      <c r="K749" s="6"/>
      <c r="L749" s="6"/>
    </row>
    <row r="750" spans="10:12" ht="14.4">
      <c r="J750" s="6"/>
      <c r="K750" s="6"/>
      <c r="L750" s="6"/>
    </row>
    <row r="751" spans="10:12" ht="14.4">
      <c r="J751" s="6"/>
      <c r="K751" s="6"/>
      <c r="L751" s="6"/>
    </row>
    <row r="752" spans="10:12" ht="14.4">
      <c r="J752" s="6"/>
      <c r="K752" s="6"/>
      <c r="L752" s="6"/>
    </row>
    <row r="753" spans="10:12" ht="14.4">
      <c r="J753" s="6"/>
      <c r="K753" s="6"/>
      <c r="L753" s="6"/>
    </row>
    <row r="754" spans="10:12" ht="14.4">
      <c r="J754" s="6"/>
      <c r="K754" s="6"/>
      <c r="L754" s="6"/>
    </row>
    <row r="755" spans="10:12" ht="14.4">
      <c r="J755" s="6"/>
      <c r="K755" s="6"/>
      <c r="L755" s="6"/>
    </row>
    <row r="756" spans="10:12" ht="14.4">
      <c r="J756" s="6"/>
      <c r="K756" s="6"/>
      <c r="L756" s="6"/>
    </row>
    <row r="757" spans="10:12" ht="14.4">
      <c r="J757" s="6"/>
      <c r="K757" s="6"/>
      <c r="L757" s="6"/>
    </row>
    <row r="758" spans="10:12" ht="14.4">
      <c r="J758" s="6"/>
      <c r="K758" s="6"/>
      <c r="L758" s="6"/>
    </row>
    <row r="759" spans="10:12" ht="14.4">
      <c r="J759" s="6"/>
      <c r="K759" s="6"/>
      <c r="L759" s="6"/>
    </row>
    <row r="760" spans="10:12" ht="14.4">
      <c r="J760" s="6"/>
      <c r="K760" s="6"/>
      <c r="L760" s="6"/>
    </row>
    <row r="761" spans="10:12" ht="14.4">
      <c r="J761" s="6"/>
      <c r="K761" s="6"/>
      <c r="L761" s="6"/>
    </row>
    <row r="762" spans="10:12" ht="14.4">
      <c r="J762" s="6"/>
      <c r="K762" s="6"/>
      <c r="L762" s="6"/>
    </row>
    <row r="763" spans="10:12" ht="14.4">
      <c r="J763" s="6"/>
      <c r="K763" s="6"/>
      <c r="L763" s="6"/>
    </row>
    <row r="764" spans="10:12" ht="14.4">
      <c r="J764" s="6"/>
      <c r="K764" s="6"/>
      <c r="L764" s="6"/>
    </row>
    <row r="765" spans="10:12" ht="14.4">
      <c r="J765" s="6"/>
      <c r="K765" s="6"/>
      <c r="L765" s="6"/>
    </row>
    <row r="766" spans="10:12" ht="14.4">
      <c r="J766" s="6"/>
      <c r="K766" s="6"/>
      <c r="L766" s="6"/>
    </row>
    <row r="767" spans="10:12" ht="14.4">
      <c r="J767" s="6"/>
      <c r="K767" s="6"/>
      <c r="L767" s="6"/>
    </row>
    <row r="768" spans="10:12" ht="14.4">
      <c r="J768" s="6"/>
      <c r="K768" s="6"/>
      <c r="L768" s="6"/>
    </row>
    <row r="769" spans="10:12" ht="14.4">
      <c r="J769" s="6"/>
      <c r="K769" s="6"/>
      <c r="L769" s="6"/>
    </row>
    <row r="770" spans="10:12" ht="14.4">
      <c r="J770" s="6"/>
      <c r="K770" s="6"/>
      <c r="L770" s="6"/>
    </row>
    <row r="771" spans="10:12" ht="14.4">
      <c r="J771" s="6"/>
      <c r="K771" s="6"/>
      <c r="L771" s="6"/>
    </row>
    <row r="772" spans="10:12" ht="14.4">
      <c r="J772" s="6"/>
      <c r="K772" s="6"/>
      <c r="L772" s="6"/>
    </row>
    <row r="773" spans="10:12" ht="14.4">
      <c r="J773" s="6"/>
      <c r="K773" s="6"/>
      <c r="L773" s="6"/>
    </row>
    <row r="774" spans="10:12" ht="14.4">
      <c r="J774" s="6"/>
      <c r="K774" s="6"/>
      <c r="L774" s="6"/>
    </row>
    <row r="775" spans="10:12" ht="14.4">
      <c r="J775" s="6"/>
      <c r="K775" s="6"/>
      <c r="L775" s="6"/>
    </row>
    <row r="776" spans="10:12" ht="14.4">
      <c r="J776" s="6"/>
      <c r="K776" s="6"/>
      <c r="L776" s="6"/>
    </row>
    <row r="777" spans="10:12" ht="14.4">
      <c r="J777" s="6"/>
      <c r="K777" s="6"/>
      <c r="L777" s="6"/>
    </row>
    <row r="778" spans="10:12" ht="14.4">
      <c r="J778" s="6"/>
      <c r="K778" s="6"/>
      <c r="L778" s="6"/>
    </row>
    <row r="779" spans="10:12" ht="14.4">
      <c r="J779" s="6"/>
      <c r="K779" s="6"/>
      <c r="L779" s="6"/>
    </row>
    <row r="780" spans="10:12" ht="14.4">
      <c r="J780" s="6"/>
      <c r="K780" s="6"/>
      <c r="L780" s="6"/>
    </row>
    <row r="781" spans="10:12" ht="14.4">
      <c r="J781" s="6"/>
      <c r="K781" s="6"/>
      <c r="L781" s="6"/>
    </row>
    <row r="782" spans="10:12" ht="14.4">
      <c r="J782" s="6"/>
      <c r="K782" s="6"/>
      <c r="L782" s="6"/>
    </row>
    <row r="783" spans="10:12" ht="14.4">
      <c r="J783" s="6"/>
      <c r="K783" s="6"/>
      <c r="L783" s="6"/>
    </row>
    <row r="784" spans="10:12" ht="14.4">
      <c r="J784" s="6"/>
      <c r="K784" s="6"/>
      <c r="L784" s="6"/>
    </row>
    <row r="785" spans="10:12" ht="14.4">
      <c r="J785" s="6"/>
      <c r="K785" s="6"/>
      <c r="L785" s="6"/>
    </row>
    <row r="786" spans="10:12" ht="14.4">
      <c r="J786" s="6"/>
      <c r="K786" s="6"/>
      <c r="L786" s="6"/>
    </row>
    <row r="787" spans="10:12" ht="14.4">
      <c r="J787" s="6"/>
      <c r="K787" s="6"/>
      <c r="L787" s="6"/>
    </row>
    <row r="788" spans="10:12" ht="14.4">
      <c r="J788" s="6"/>
      <c r="K788" s="6"/>
      <c r="L788" s="6"/>
    </row>
    <row r="789" spans="10:12" ht="14.4">
      <c r="J789" s="6"/>
      <c r="K789" s="6"/>
      <c r="L789" s="6"/>
    </row>
    <row r="790" spans="10:12" ht="14.4">
      <c r="J790" s="6"/>
      <c r="K790" s="6"/>
      <c r="L790" s="6"/>
    </row>
    <row r="791" spans="10:12" ht="14.4">
      <c r="J791" s="6"/>
      <c r="K791" s="6"/>
      <c r="L791" s="6"/>
    </row>
    <row r="792" spans="10:12" ht="14.4">
      <c r="J792" s="6"/>
      <c r="K792" s="6"/>
      <c r="L792" s="6"/>
    </row>
    <row r="793" spans="10:12" ht="14.4">
      <c r="J793" s="6"/>
      <c r="K793" s="6"/>
      <c r="L793" s="6"/>
    </row>
    <row r="794" spans="10:12" ht="14.4">
      <c r="J794" s="6"/>
      <c r="K794" s="6"/>
      <c r="L794" s="6"/>
    </row>
    <row r="795" spans="10:12" ht="14.4">
      <c r="J795" s="6"/>
      <c r="K795" s="6"/>
      <c r="L795" s="6"/>
    </row>
    <row r="796" spans="10:12" ht="14.4">
      <c r="J796" s="6"/>
      <c r="K796" s="6"/>
      <c r="L796" s="6"/>
    </row>
    <row r="797" spans="10:12" ht="14.4">
      <c r="J797" s="6"/>
      <c r="K797" s="6"/>
      <c r="L797" s="6"/>
    </row>
    <row r="798" spans="10:12" ht="14.4">
      <c r="J798" s="6"/>
      <c r="K798" s="6"/>
      <c r="L798" s="6"/>
    </row>
    <row r="799" spans="10:12" ht="14.4">
      <c r="J799" s="6"/>
      <c r="K799" s="6"/>
      <c r="L799" s="6"/>
    </row>
    <row r="800" spans="10:12" ht="14.4">
      <c r="J800" s="6"/>
      <c r="K800" s="6"/>
      <c r="L800" s="6"/>
    </row>
    <row r="801" spans="10:12" ht="14.4">
      <c r="J801" s="6"/>
      <c r="K801" s="6"/>
      <c r="L801" s="6"/>
    </row>
    <row r="802" spans="10:12" ht="14.4">
      <c r="J802" s="6"/>
      <c r="K802" s="6"/>
      <c r="L802" s="6"/>
    </row>
    <row r="803" spans="10:12" ht="14.4">
      <c r="J803" s="6"/>
      <c r="K803" s="6"/>
      <c r="L803" s="6"/>
    </row>
    <row r="804" spans="10:12" ht="14.4">
      <c r="J804" s="6"/>
      <c r="K804" s="6"/>
      <c r="L804" s="6"/>
    </row>
    <row r="805" spans="10:12" ht="14.4">
      <c r="J805" s="6"/>
      <c r="K805" s="6"/>
      <c r="L805" s="6"/>
    </row>
    <row r="806" spans="10:12" ht="14.4">
      <c r="J806" s="6"/>
      <c r="K806" s="6"/>
      <c r="L806" s="6"/>
    </row>
    <row r="807" spans="10:12" ht="14.4">
      <c r="J807" s="6"/>
      <c r="K807" s="6"/>
      <c r="L807" s="6"/>
    </row>
    <row r="808" spans="10:12" ht="14.4">
      <c r="J808" s="6"/>
      <c r="K808" s="6"/>
      <c r="L808" s="6"/>
    </row>
    <row r="809" spans="10:12" ht="14.4">
      <c r="J809" s="6"/>
      <c r="K809" s="6"/>
      <c r="L809" s="6"/>
    </row>
    <row r="810" spans="10:12" ht="14.4">
      <c r="J810" s="6"/>
      <c r="K810" s="6"/>
      <c r="L810" s="6"/>
    </row>
    <row r="811" spans="10:12" ht="14.4">
      <c r="J811" s="6"/>
      <c r="K811" s="6"/>
      <c r="L811" s="6"/>
    </row>
    <row r="812" spans="10:12" ht="14.4">
      <c r="J812" s="6"/>
      <c r="K812" s="6"/>
      <c r="L812" s="6"/>
    </row>
    <row r="813" spans="10:12" ht="14.4">
      <c r="J813" s="6"/>
      <c r="K813" s="6"/>
      <c r="L813" s="6"/>
    </row>
    <row r="814" spans="10:12" ht="14.4">
      <c r="J814" s="6"/>
      <c r="K814" s="6"/>
      <c r="L814" s="6"/>
    </row>
    <row r="815" spans="10:12" ht="14.4">
      <c r="J815" s="6"/>
      <c r="K815" s="6"/>
      <c r="L815" s="6"/>
    </row>
    <row r="816" spans="10:12" ht="14.4">
      <c r="J816" s="6"/>
      <c r="K816" s="6"/>
      <c r="L816" s="6"/>
    </row>
    <row r="817" spans="10:12" ht="14.4">
      <c r="J817" s="6"/>
      <c r="K817" s="6"/>
      <c r="L817" s="6"/>
    </row>
    <row r="818" spans="10:12" ht="14.4">
      <c r="J818" s="6"/>
      <c r="K818" s="6"/>
      <c r="L818" s="6"/>
    </row>
    <row r="819" spans="10:12" ht="14.4">
      <c r="J819" s="6"/>
      <c r="K819" s="6"/>
      <c r="L819" s="6"/>
    </row>
    <row r="820" spans="10:12" ht="14.4">
      <c r="J820" s="6"/>
      <c r="K820" s="6"/>
      <c r="L820" s="6"/>
    </row>
    <row r="821" spans="10:12" ht="14.4">
      <c r="J821" s="6"/>
      <c r="K821" s="6"/>
      <c r="L821" s="6"/>
    </row>
    <row r="822" spans="10:12" ht="14.4">
      <c r="J822" s="6"/>
      <c r="K822" s="6"/>
      <c r="L822" s="6"/>
    </row>
    <row r="823" spans="10:12" ht="14.4">
      <c r="J823" s="6"/>
      <c r="K823" s="6"/>
      <c r="L823" s="6"/>
    </row>
    <row r="824" spans="10:12" ht="14.4">
      <c r="J824" s="6"/>
      <c r="K824" s="6"/>
      <c r="L824" s="6"/>
    </row>
    <row r="825" spans="10:12" ht="14.4">
      <c r="J825" s="6"/>
      <c r="K825" s="6"/>
      <c r="L825" s="6"/>
    </row>
    <row r="826" spans="10:12" ht="14.4">
      <c r="J826" s="6"/>
      <c r="K826" s="6"/>
      <c r="L826" s="6"/>
    </row>
    <row r="827" spans="10:12" ht="14.4">
      <c r="J827" s="6"/>
      <c r="K827" s="6"/>
      <c r="L827" s="6"/>
    </row>
    <row r="828" spans="10:12" ht="14.4">
      <c r="J828" s="6"/>
      <c r="K828" s="6"/>
      <c r="L828" s="6"/>
    </row>
    <row r="829" spans="10:12" ht="14.4">
      <c r="J829" s="6"/>
      <c r="K829" s="6"/>
      <c r="L829" s="6"/>
    </row>
    <row r="830" spans="10:12" ht="14.4">
      <c r="J830" s="6"/>
      <c r="K830" s="6"/>
      <c r="L830" s="6"/>
    </row>
    <row r="831" spans="10:12" ht="14.4">
      <c r="J831" s="6"/>
      <c r="K831" s="6"/>
      <c r="L831" s="6"/>
    </row>
    <row r="832" spans="10:12" ht="14.4">
      <c r="J832" s="6"/>
      <c r="K832" s="6"/>
      <c r="L832" s="6"/>
    </row>
    <row r="833" spans="10:12" ht="14.4">
      <c r="J833" s="6"/>
      <c r="K833" s="6"/>
      <c r="L833" s="6"/>
    </row>
    <row r="834" spans="10:12" ht="14.4">
      <c r="J834" s="6"/>
      <c r="K834" s="6"/>
      <c r="L834" s="6"/>
    </row>
    <row r="835" spans="10:12" ht="14.4">
      <c r="J835" s="6"/>
      <c r="K835" s="6"/>
      <c r="L835" s="6"/>
    </row>
    <row r="836" spans="10:12" ht="14.4">
      <c r="J836" s="6"/>
      <c r="K836" s="6"/>
      <c r="L836" s="6"/>
    </row>
    <row r="837" spans="10:12" ht="14.4">
      <c r="J837" s="6"/>
      <c r="K837" s="6"/>
      <c r="L837" s="6"/>
    </row>
    <row r="838" spans="10:12" ht="14.4">
      <c r="J838" s="6"/>
      <c r="K838" s="6"/>
      <c r="L838" s="6"/>
    </row>
    <row r="839" spans="10:12" ht="14.4">
      <c r="J839" s="6"/>
      <c r="K839" s="6"/>
      <c r="L839" s="6"/>
    </row>
    <row r="840" spans="10:12" ht="14.4">
      <c r="J840" s="6"/>
      <c r="K840" s="6"/>
      <c r="L840" s="6"/>
    </row>
    <row r="841" spans="10:12" ht="14.4">
      <c r="J841" s="6"/>
      <c r="K841" s="6"/>
      <c r="L841" s="6"/>
    </row>
    <row r="842" spans="10:12" ht="14.4">
      <c r="J842" s="6"/>
      <c r="K842" s="6"/>
      <c r="L842" s="6"/>
    </row>
    <row r="843" spans="10:12" ht="14.4">
      <c r="J843" s="6"/>
      <c r="K843" s="6"/>
      <c r="L843" s="6"/>
    </row>
    <row r="844" spans="10:12" ht="14.4">
      <c r="J844" s="6"/>
      <c r="K844" s="6"/>
      <c r="L844" s="6"/>
    </row>
    <row r="845" spans="10:12" ht="14.4">
      <c r="J845" s="6"/>
      <c r="K845" s="6"/>
      <c r="L845" s="6"/>
    </row>
    <row r="846" spans="10:12" ht="14.4">
      <c r="J846" s="6"/>
      <c r="K846" s="6"/>
      <c r="L846" s="6"/>
    </row>
    <row r="847" spans="10:12" ht="14.4">
      <c r="J847" s="6"/>
      <c r="K847" s="6"/>
      <c r="L847" s="6"/>
    </row>
    <row r="848" spans="10:12" ht="14.4">
      <c r="J848" s="6"/>
      <c r="K848" s="6"/>
      <c r="L848" s="6"/>
    </row>
    <row r="849" spans="10:12" ht="14.4">
      <c r="J849" s="6"/>
      <c r="K849" s="6"/>
      <c r="L849" s="6"/>
    </row>
    <row r="850" spans="10:12" ht="14.4">
      <c r="J850" s="6"/>
      <c r="K850" s="6"/>
      <c r="L850" s="6"/>
    </row>
    <row r="851" spans="10:12" ht="14.4">
      <c r="J851" s="6"/>
      <c r="K851" s="6"/>
      <c r="L851" s="6"/>
    </row>
    <row r="852" spans="10:12" ht="14.4">
      <c r="J852" s="6"/>
      <c r="K852" s="6"/>
      <c r="L852" s="6"/>
    </row>
    <row r="853" spans="10:12" ht="14.4">
      <c r="J853" s="6"/>
      <c r="K853" s="6"/>
      <c r="L853" s="6"/>
    </row>
    <row r="854" spans="10:12" ht="14.4">
      <c r="J854" s="6"/>
      <c r="K854" s="6"/>
      <c r="L854" s="6"/>
    </row>
    <row r="855" spans="10:12" ht="14.4">
      <c r="J855" s="6"/>
      <c r="K855" s="6"/>
      <c r="L855" s="6"/>
    </row>
    <row r="856" spans="10:12" ht="14.4">
      <c r="J856" s="6"/>
      <c r="K856" s="6"/>
      <c r="L856" s="6"/>
    </row>
    <row r="857" spans="10:12" ht="14.4">
      <c r="J857" s="6"/>
      <c r="K857" s="6"/>
      <c r="L857" s="6"/>
    </row>
    <row r="858" spans="10:12" ht="14.4">
      <c r="J858" s="6"/>
      <c r="K858" s="6"/>
      <c r="L858" s="6"/>
    </row>
    <row r="859" spans="10:12" ht="14.4">
      <c r="J859" s="6"/>
      <c r="K859" s="6"/>
      <c r="L859" s="6"/>
    </row>
    <row r="860" spans="10:12" ht="14.4">
      <c r="J860" s="6"/>
      <c r="K860" s="6"/>
      <c r="L860" s="6"/>
    </row>
    <row r="861" spans="10:12" ht="14.4">
      <c r="J861" s="6"/>
      <c r="K861" s="6"/>
      <c r="L861" s="6"/>
    </row>
    <row r="862" spans="10:12" ht="14.4">
      <c r="J862" s="6"/>
      <c r="K862" s="6"/>
      <c r="L862" s="6"/>
    </row>
    <row r="863" spans="10:12" ht="14.4">
      <c r="J863" s="6"/>
      <c r="K863" s="6"/>
      <c r="L863" s="6"/>
    </row>
    <row r="864" spans="10:12" ht="14.4">
      <c r="J864" s="6"/>
      <c r="K864" s="6"/>
      <c r="L864" s="6"/>
    </row>
    <row r="865" spans="10:12" ht="14.4">
      <c r="J865" s="6"/>
      <c r="K865" s="6"/>
      <c r="L865" s="6"/>
    </row>
    <row r="866" spans="10:12" ht="14.4">
      <c r="J866" s="6"/>
      <c r="K866" s="6"/>
      <c r="L866" s="6"/>
    </row>
    <row r="867" spans="10:12" ht="14.4">
      <c r="J867" s="6"/>
      <c r="K867" s="6"/>
      <c r="L867" s="6"/>
    </row>
    <row r="868" spans="10:12" ht="14.4">
      <c r="J868" s="6"/>
      <c r="K868" s="6"/>
      <c r="L868" s="6"/>
    </row>
    <row r="869" spans="10:12" ht="14.4">
      <c r="J869" s="6"/>
      <c r="K869" s="6"/>
      <c r="L869" s="6"/>
    </row>
    <row r="870" spans="10:12" ht="14.4">
      <c r="J870" s="6"/>
      <c r="K870" s="6"/>
      <c r="L870" s="6"/>
    </row>
    <row r="871" spans="10:12" ht="14.4">
      <c r="J871" s="6"/>
      <c r="K871" s="6"/>
      <c r="L871" s="6"/>
    </row>
    <row r="872" spans="10:12" ht="14.4">
      <c r="J872" s="6"/>
      <c r="K872" s="6"/>
      <c r="L872" s="6"/>
    </row>
    <row r="873" spans="10:12" ht="14.4">
      <c r="J873" s="6"/>
      <c r="K873" s="6"/>
      <c r="L873" s="6"/>
    </row>
    <row r="874" spans="10:12" ht="14.4">
      <c r="J874" s="6"/>
      <c r="K874" s="6"/>
      <c r="L874" s="6"/>
    </row>
    <row r="875" spans="10:12" ht="14.4">
      <c r="J875" s="6"/>
      <c r="K875" s="6"/>
      <c r="L875" s="6"/>
    </row>
    <row r="876" spans="10:12" ht="14.4">
      <c r="J876" s="6"/>
      <c r="K876" s="6"/>
      <c r="L876" s="6"/>
    </row>
    <row r="877" spans="10:12" ht="14.4">
      <c r="J877" s="6"/>
      <c r="K877" s="6"/>
      <c r="L877" s="6"/>
    </row>
    <row r="878" spans="10:12" ht="14.4">
      <c r="J878" s="6"/>
      <c r="K878" s="6"/>
      <c r="L878" s="6"/>
    </row>
    <row r="879" spans="10:12" ht="14.4">
      <c r="J879" s="6"/>
      <c r="K879" s="6"/>
      <c r="L879" s="6"/>
    </row>
    <row r="880" spans="10:12" ht="14.4">
      <c r="J880" s="6"/>
      <c r="K880" s="6"/>
      <c r="L880" s="6"/>
    </row>
    <row r="881" spans="10:12" ht="14.4">
      <c r="J881" s="6"/>
      <c r="K881" s="6"/>
      <c r="L881" s="6"/>
    </row>
    <row r="882" spans="10:12" ht="14.4">
      <c r="J882" s="6"/>
      <c r="K882" s="6"/>
      <c r="L882" s="6"/>
    </row>
    <row r="883" spans="10:12" ht="14.4">
      <c r="J883" s="6"/>
      <c r="K883" s="6"/>
      <c r="L883" s="6"/>
    </row>
    <row r="884" spans="10:12" ht="14.4">
      <c r="J884" s="6"/>
      <c r="K884" s="6"/>
      <c r="L884" s="6"/>
    </row>
    <row r="885" spans="10:12" ht="14.4">
      <c r="J885" s="6"/>
      <c r="K885" s="6"/>
      <c r="L885" s="6"/>
    </row>
    <row r="886" spans="10:12" ht="14.4">
      <c r="J886" s="6"/>
      <c r="K886" s="6"/>
      <c r="L886" s="6"/>
    </row>
    <row r="887" spans="10:12" ht="14.4">
      <c r="J887" s="6"/>
      <c r="K887" s="6"/>
      <c r="L887" s="6"/>
    </row>
    <row r="888" spans="10:12" ht="14.4">
      <c r="J888" s="6"/>
      <c r="K888" s="6"/>
      <c r="L888" s="6"/>
    </row>
    <row r="889" spans="10:12" ht="14.4">
      <c r="J889" s="6"/>
      <c r="K889" s="6"/>
      <c r="L889" s="6"/>
    </row>
    <row r="890" spans="10:12" ht="14.4">
      <c r="J890" s="6"/>
      <c r="K890" s="6"/>
      <c r="L890" s="6"/>
    </row>
    <row r="891" spans="10:12" ht="14.4">
      <c r="J891" s="6"/>
      <c r="K891" s="6"/>
      <c r="L891" s="6"/>
    </row>
    <row r="892" spans="10:12" ht="14.4">
      <c r="J892" s="6"/>
      <c r="K892" s="6"/>
      <c r="L892" s="6"/>
    </row>
    <row r="893" spans="10:12" ht="14.4">
      <c r="J893" s="6"/>
      <c r="K893" s="6"/>
      <c r="L893" s="6"/>
    </row>
    <row r="894" spans="10:12" ht="14.4">
      <c r="J894" s="6"/>
      <c r="K894" s="6"/>
      <c r="L894" s="6"/>
    </row>
    <row r="895" spans="10:12" ht="14.4">
      <c r="J895" s="6"/>
      <c r="K895" s="6"/>
      <c r="L895" s="6"/>
    </row>
    <row r="896" spans="10:12" ht="14.4">
      <c r="J896" s="6"/>
      <c r="K896" s="6"/>
      <c r="L896" s="6"/>
    </row>
    <row r="897" spans="10:12" ht="14.4">
      <c r="J897" s="6"/>
      <c r="K897" s="6"/>
      <c r="L897" s="6"/>
    </row>
    <row r="898" spans="10:12" ht="14.4">
      <c r="J898" s="6"/>
      <c r="K898" s="6"/>
      <c r="L898" s="6"/>
    </row>
    <row r="899" spans="10:12" ht="14.4">
      <c r="J899" s="6"/>
      <c r="K899" s="6"/>
      <c r="L899" s="6"/>
    </row>
    <row r="900" spans="10:12" ht="14.4">
      <c r="J900" s="6"/>
      <c r="K900" s="6"/>
      <c r="L900" s="6"/>
    </row>
    <row r="901" spans="10:12" ht="14.4">
      <c r="J901" s="6"/>
      <c r="K901" s="6"/>
      <c r="L901" s="6"/>
    </row>
    <row r="902" spans="10:12" ht="14.4">
      <c r="J902" s="6"/>
      <c r="K902" s="6"/>
      <c r="L902" s="6"/>
    </row>
    <row r="903" spans="10:12" ht="14.4">
      <c r="J903" s="6"/>
      <c r="K903" s="6"/>
      <c r="L903" s="6"/>
    </row>
    <row r="904" spans="10:12" ht="14.4">
      <c r="J904" s="6"/>
      <c r="K904" s="6"/>
      <c r="L904" s="6"/>
    </row>
    <row r="905" spans="10:12" ht="14.4">
      <c r="J905" s="6"/>
      <c r="K905" s="6"/>
      <c r="L905" s="6"/>
    </row>
    <row r="906" spans="10:12" ht="14.4">
      <c r="J906" s="6"/>
      <c r="K906" s="6"/>
      <c r="L906" s="6"/>
    </row>
    <row r="907" spans="10:12" ht="14.4">
      <c r="J907" s="6"/>
      <c r="K907" s="6"/>
      <c r="L907" s="6"/>
    </row>
    <row r="908" spans="10:12" ht="14.4">
      <c r="J908" s="6"/>
      <c r="K908" s="6"/>
      <c r="L908" s="6"/>
    </row>
    <row r="909" spans="10:12" ht="14.4">
      <c r="J909" s="6"/>
      <c r="K909" s="6"/>
      <c r="L909" s="6"/>
    </row>
    <row r="910" spans="10:12" ht="14.4">
      <c r="J910" s="6"/>
      <c r="K910" s="6"/>
      <c r="L910" s="6"/>
    </row>
    <row r="911" spans="10:12" ht="14.4">
      <c r="J911" s="6"/>
      <c r="K911" s="6"/>
      <c r="L911" s="6"/>
    </row>
    <row r="912" spans="10:12" ht="14.4">
      <c r="J912" s="6"/>
      <c r="K912" s="6"/>
      <c r="L912" s="6"/>
    </row>
    <row r="913" spans="10:12" ht="14.4">
      <c r="J913" s="6"/>
      <c r="K913" s="6"/>
      <c r="L913" s="6"/>
    </row>
    <row r="914" spans="10:12" ht="14.4">
      <c r="J914" s="6"/>
      <c r="K914" s="6"/>
      <c r="L914" s="6"/>
    </row>
    <row r="915" spans="10:12" ht="14.4">
      <c r="J915" s="6"/>
      <c r="K915" s="6"/>
      <c r="L915" s="6"/>
    </row>
    <row r="916" spans="10:12" ht="14.4">
      <c r="J916" s="6"/>
      <c r="K916" s="6"/>
      <c r="L916" s="6"/>
    </row>
    <row r="917" spans="10:12" ht="14.4">
      <c r="J917" s="6"/>
      <c r="K917" s="6"/>
      <c r="L917" s="6"/>
    </row>
    <row r="918" spans="10:12" ht="14.4">
      <c r="J918" s="6"/>
      <c r="K918" s="6"/>
      <c r="L918" s="6"/>
    </row>
    <row r="919" spans="10:12" ht="14.4">
      <c r="J919" s="6"/>
      <c r="K919" s="6"/>
      <c r="L919" s="6"/>
    </row>
    <row r="920" spans="10:12" ht="14.4">
      <c r="J920" s="6"/>
      <c r="K920" s="6"/>
      <c r="L920" s="6"/>
    </row>
    <row r="921" spans="10:12" ht="14.4">
      <c r="J921" s="6"/>
      <c r="K921" s="6"/>
      <c r="L921" s="6"/>
    </row>
    <row r="922" spans="10:12" ht="14.4">
      <c r="J922" s="6"/>
      <c r="K922" s="6"/>
      <c r="L922" s="6"/>
    </row>
    <row r="923" spans="10:12" ht="14.4">
      <c r="J923" s="6"/>
      <c r="K923" s="6"/>
      <c r="L923" s="6"/>
    </row>
    <row r="924" spans="10:12" ht="14.4">
      <c r="J924" s="6"/>
      <c r="K924" s="6"/>
      <c r="L924" s="6"/>
    </row>
    <row r="925" spans="10:12" ht="14.4">
      <c r="J925" s="6"/>
      <c r="K925" s="6"/>
      <c r="L925" s="6"/>
    </row>
    <row r="926" spans="10:12" ht="14.4">
      <c r="J926" s="6"/>
      <c r="K926" s="6"/>
      <c r="L926" s="6"/>
    </row>
    <row r="927" spans="10:12" ht="14.4">
      <c r="J927" s="6"/>
      <c r="K927" s="6"/>
      <c r="L927" s="6"/>
    </row>
    <row r="928" spans="10:12" ht="14.4">
      <c r="J928" s="6"/>
      <c r="K928" s="6"/>
      <c r="L928" s="6"/>
    </row>
    <row r="929" spans="10:12" ht="14.4">
      <c r="J929" s="6"/>
      <c r="K929" s="6"/>
      <c r="L929" s="6"/>
    </row>
    <row r="930" spans="10:12" ht="14.4">
      <c r="J930" s="6"/>
      <c r="K930" s="6"/>
      <c r="L930" s="6"/>
    </row>
    <row r="931" spans="10:12" ht="14.4">
      <c r="J931" s="6"/>
      <c r="K931" s="6"/>
      <c r="L931" s="6"/>
    </row>
    <row r="932" spans="10:12" ht="14.4">
      <c r="J932" s="6"/>
      <c r="K932" s="6"/>
      <c r="L932" s="6"/>
    </row>
    <row r="933" spans="10:12" ht="14.4">
      <c r="J933" s="6"/>
      <c r="K933" s="6"/>
      <c r="L933" s="6"/>
    </row>
    <row r="934" spans="10:12" ht="14.4">
      <c r="J934" s="6"/>
      <c r="K934" s="6"/>
      <c r="L934" s="6"/>
    </row>
    <row r="935" spans="10:12" ht="14.4">
      <c r="J935" s="6"/>
      <c r="K935" s="6"/>
      <c r="L935" s="6"/>
    </row>
    <row r="936" spans="10:12" ht="14.4">
      <c r="J936" s="6"/>
      <c r="K936" s="6"/>
      <c r="L936" s="6"/>
    </row>
    <row r="937" spans="10:12" ht="14.4">
      <c r="J937" s="6"/>
      <c r="K937" s="6"/>
      <c r="L937" s="6"/>
    </row>
    <row r="938" spans="10:12" ht="14.4">
      <c r="J938" s="6"/>
      <c r="K938" s="6"/>
      <c r="L938" s="6"/>
    </row>
    <row r="939" spans="10:12" ht="14.4">
      <c r="J939" s="6"/>
      <c r="K939" s="6"/>
      <c r="L939" s="6"/>
    </row>
    <row r="940" spans="10:12" ht="14.4">
      <c r="J940" s="6"/>
      <c r="K940" s="6"/>
      <c r="L940" s="6"/>
    </row>
    <row r="941" spans="10:12" ht="14.4">
      <c r="J941" s="6"/>
      <c r="K941" s="6"/>
      <c r="L941" s="6"/>
    </row>
    <row r="942" spans="10:12" ht="14.4">
      <c r="J942" s="6"/>
      <c r="K942" s="6"/>
      <c r="L942" s="6"/>
    </row>
    <row r="943" spans="10:12" ht="14.4">
      <c r="J943" s="6"/>
      <c r="K943" s="6"/>
      <c r="L943" s="6"/>
    </row>
    <row r="944" spans="10:12" ht="14.4">
      <c r="J944" s="6"/>
      <c r="K944" s="6"/>
      <c r="L944" s="6"/>
    </row>
    <row r="945" spans="10:12" ht="14.4">
      <c r="J945" s="6"/>
      <c r="K945" s="6"/>
      <c r="L945" s="6"/>
    </row>
    <row r="946" spans="10:12" ht="14.4">
      <c r="J946" s="6"/>
      <c r="K946" s="6"/>
      <c r="L946" s="6"/>
    </row>
    <row r="947" spans="10:12" ht="14.4">
      <c r="J947" s="6"/>
      <c r="K947" s="6"/>
      <c r="L947" s="6"/>
    </row>
    <row r="948" spans="10:12" ht="14.4">
      <c r="J948" s="6"/>
      <c r="K948" s="6"/>
      <c r="L948" s="6"/>
    </row>
    <row r="949" spans="10:12" ht="14.4">
      <c r="J949" s="6"/>
      <c r="K949" s="6"/>
      <c r="L949" s="6"/>
    </row>
    <row r="950" spans="10:12" ht="14.4">
      <c r="J950" s="6"/>
      <c r="K950" s="6"/>
      <c r="L950" s="6"/>
    </row>
    <row r="951" spans="10:12" ht="14.4">
      <c r="J951" s="6"/>
      <c r="K951" s="6"/>
      <c r="L951" s="6"/>
    </row>
    <row r="952" spans="10:12" ht="14.4">
      <c r="J952" s="6"/>
      <c r="K952" s="6"/>
      <c r="L952" s="6"/>
    </row>
    <row r="953" spans="10:12" ht="14.4">
      <c r="J953" s="6"/>
      <c r="K953" s="6"/>
      <c r="L953" s="6"/>
    </row>
    <row r="954" spans="10:12" ht="14.4">
      <c r="J954" s="6"/>
      <c r="K954" s="6"/>
      <c r="L954" s="6"/>
    </row>
    <row r="955" spans="10:12" ht="14.4">
      <c r="J955" s="6"/>
      <c r="K955" s="6"/>
      <c r="L955" s="6"/>
    </row>
    <row r="956" spans="10:12" ht="14.4">
      <c r="J956" s="6"/>
      <c r="K956" s="6"/>
      <c r="L956" s="6"/>
    </row>
    <row r="957" spans="10:12" ht="14.4">
      <c r="J957" s="6"/>
      <c r="K957" s="6"/>
      <c r="L957" s="6"/>
    </row>
    <row r="958" spans="10:12" ht="14.4">
      <c r="J958" s="6"/>
      <c r="K958" s="6"/>
      <c r="L958" s="6"/>
    </row>
    <row r="959" spans="10:12" ht="14.4">
      <c r="J959" s="6"/>
      <c r="K959" s="6"/>
      <c r="L959" s="6"/>
    </row>
    <row r="960" spans="10:12" ht="14.4">
      <c r="J960" s="6"/>
      <c r="K960" s="6"/>
      <c r="L960" s="6"/>
    </row>
    <row r="961" spans="10:12" ht="14.4">
      <c r="J961" s="6"/>
      <c r="K961" s="6"/>
      <c r="L961" s="6"/>
    </row>
    <row r="962" spans="10:12" ht="14.4">
      <c r="J962" s="6"/>
      <c r="K962" s="6"/>
      <c r="L962" s="6"/>
    </row>
    <row r="963" spans="10:12" ht="14.4">
      <c r="J963" s="6"/>
      <c r="K963" s="6"/>
      <c r="L963" s="6"/>
    </row>
    <row r="964" spans="10:12" ht="14.4">
      <c r="J964" s="6"/>
      <c r="K964" s="6"/>
      <c r="L964" s="6"/>
    </row>
    <row r="965" spans="10:12" ht="14.4">
      <c r="J965" s="6"/>
      <c r="K965" s="6"/>
      <c r="L965" s="6"/>
    </row>
    <row r="966" spans="10:12" ht="14.4">
      <c r="J966" s="6"/>
      <c r="K966" s="6"/>
      <c r="L966" s="6"/>
    </row>
    <row r="967" spans="10:12" ht="14.4">
      <c r="J967" s="6"/>
      <c r="K967" s="6"/>
      <c r="L967" s="6"/>
    </row>
    <row r="968" spans="10:12" ht="14.4">
      <c r="J968" s="6"/>
      <c r="K968" s="6"/>
      <c r="L968" s="6"/>
    </row>
    <row r="969" spans="10:12" ht="14.4">
      <c r="J969" s="6"/>
      <c r="K969" s="6"/>
      <c r="L969" s="6"/>
    </row>
    <row r="970" spans="10:12" ht="14.4">
      <c r="J970" s="6"/>
      <c r="K970" s="6"/>
      <c r="L970" s="6"/>
    </row>
    <row r="971" spans="10:12" ht="14.4">
      <c r="J971" s="6"/>
      <c r="K971" s="6"/>
      <c r="L971" s="6"/>
    </row>
    <row r="972" spans="10:12" ht="14.4">
      <c r="J972" s="6"/>
      <c r="K972" s="6"/>
      <c r="L972" s="6"/>
    </row>
    <row r="973" spans="10:12" ht="14.4">
      <c r="J973" s="6"/>
      <c r="K973" s="6"/>
      <c r="L973" s="6"/>
    </row>
    <row r="974" spans="10:12" ht="14.4">
      <c r="J974" s="6"/>
      <c r="K974" s="6"/>
      <c r="L974" s="6"/>
    </row>
    <row r="975" spans="10:12" ht="14.4">
      <c r="J975" s="6"/>
      <c r="K975" s="6"/>
      <c r="L975" s="6"/>
    </row>
    <row r="976" spans="10:12" ht="14.4">
      <c r="J976" s="6"/>
      <c r="K976" s="6"/>
      <c r="L976" s="6"/>
    </row>
    <row r="977" spans="10:12" ht="14.4">
      <c r="J977" s="6"/>
      <c r="K977" s="6"/>
      <c r="L977" s="6"/>
    </row>
    <row r="978" spans="10:12" ht="14.4">
      <c r="J978" s="6"/>
      <c r="K978" s="6"/>
      <c r="L978" s="6"/>
    </row>
    <row r="979" spans="10:12" ht="14.4">
      <c r="J979" s="6"/>
      <c r="K979" s="6"/>
      <c r="L979" s="6"/>
    </row>
    <row r="980" spans="10:12" ht="14.4">
      <c r="J980" s="6"/>
      <c r="K980" s="6"/>
      <c r="L980" s="6"/>
    </row>
    <row r="981" spans="10:12" ht="14.4">
      <c r="J981" s="6"/>
      <c r="K981" s="6"/>
      <c r="L981" s="6"/>
    </row>
    <row r="982" spans="10:12" ht="14.4">
      <c r="J982" s="6"/>
      <c r="K982" s="6"/>
      <c r="L982" s="6"/>
    </row>
    <row r="983" spans="10:12" ht="14.4">
      <c r="J983" s="6"/>
      <c r="K983" s="6"/>
      <c r="L983" s="6"/>
    </row>
    <row r="984" spans="10:12" ht="14.4">
      <c r="J984" s="6"/>
      <c r="K984" s="6"/>
      <c r="L984" s="6"/>
    </row>
    <row r="985" spans="10:12" ht="14.4">
      <c r="J985" s="6"/>
      <c r="K985" s="6"/>
      <c r="L985" s="6"/>
    </row>
    <row r="986" spans="10:12" ht="14.4">
      <c r="J986" s="6"/>
      <c r="K986" s="6"/>
      <c r="L986" s="6"/>
    </row>
    <row r="987" spans="10:12" ht="14.4">
      <c r="J987" s="6"/>
      <c r="K987" s="6"/>
      <c r="L987" s="6"/>
    </row>
    <row r="988" spans="10:12" ht="14.4">
      <c r="J988" s="6"/>
      <c r="K988" s="6"/>
      <c r="L988" s="6"/>
    </row>
    <row r="989" spans="10:12" ht="14.4">
      <c r="J989" s="6"/>
      <c r="K989" s="6"/>
      <c r="L989" s="6"/>
    </row>
    <row r="990" spans="10:12" ht="14.4">
      <c r="J990" s="6"/>
      <c r="K990" s="6"/>
      <c r="L990" s="6"/>
    </row>
    <row r="991" spans="10:12" ht="14.4">
      <c r="J991" s="6"/>
      <c r="K991" s="6"/>
      <c r="L991" s="6"/>
    </row>
    <row r="992" spans="10:12" ht="14.4">
      <c r="J992" s="6"/>
      <c r="K992" s="6"/>
      <c r="L992" s="6"/>
    </row>
    <row r="993" spans="10:12" ht="14.4">
      <c r="J993" s="6"/>
      <c r="K993" s="6"/>
      <c r="L993" s="6"/>
    </row>
    <row r="994" spans="10:12" ht="14.4">
      <c r="J994" s="6"/>
      <c r="K994" s="6"/>
      <c r="L994" s="6"/>
    </row>
    <row r="995" spans="10:12" ht="14.4">
      <c r="J995" s="6"/>
      <c r="K995" s="6"/>
      <c r="L995" s="6"/>
    </row>
    <row r="996" spans="10:12" ht="14.4">
      <c r="J996" s="6"/>
      <c r="K996" s="6"/>
      <c r="L996" s="6"/>
    </row>
    <row r="997" spans="10:12" ht="14.4">
      <c r="J997" s="6"/>
      <c r="K997" s="6"/>
      <c r="L997" s="6"/>
    </row>
    <row r="998" spans="10:12" ht="14.4">
      <c r="J998" s="6"/>
      <c r="K998" s="6"/>
      <c r="L998" s="6"/>
    </row>
    <row r="999" spans="10:12" ht="14.4">
      <c r="J999" s="6"/>
      <c r="K999" s="6"/>
      <c r="L999" s="6"/>
    </row>
  </sheetData>
  <autoFilter ref="A30:AE39" xr:uid="{00000000-0001-0000-0400-000000000000}"/>
  <mergeCells count="18">
    <mergeCell ref="T11:U11"/>
    <mergeCell ref="T12:U12"/>
    <mergeCell ref="Y5:AA5"/>
    <mergeCell ref="AB5:AD5"/>
    <mergeCell ref="V5:X5"/>
    <mergeCell ref="T6:U6"/>
    <mergeCell ref="T7:U7"/>
    <mergeCell ref="T8:U8"/>
    <mergeCell ref="T9:U9"/>
    <mergeCell ref="T10:U10"/>
    <mergeCell ref="Y4:Z4"/>
    <mergeCell ref="O4:P4"/>
    <mergeCell ref="C4:D4"/>
    <mergeCell ref="E4:F4"/>
    <mergeCell ref="G4:H4"/>
    <mergeCell ref="I4:J4"/>
    <mergeCell ref="K4:L4"/>
    <mergeCell ref="M4:N4"/>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BFF5E-15CE-4D58-AE63-1289577AB416}">
  <dimension ref="B4:L12"/>
  <sheetViews>
    <sheetView workbookViewId="0">
      <selection activeCell="D7" sqref="D7"/>
    </sheetView>
  </sheetViews>
  <sheetFormatPr defaultRowHeight="13.8"/>
  <cols>
    <col min="3" max="3" width="18.19921875" customWidth="1"/>
    <col min="4" max="4" width="13.796875" customWidth="1"/>
    <col min="5" max="5" width="12.5" customWidth="1"/>
    <col min="6" max="6" width="7.59765625" customWidth="1"/>
    <col min="7" max="7" width="11.09765625" customWidth="1"/>
    <col min="8" max="8" width="11.5" customWidth="1"/>
    <col min="9" max="9" width="10.3984375" customWidth="1"/>
    <col min="10" max="10" width="14.19921875" customWidth="1"/>
    <col min="12" max="12" width="14.19921875" customWidth="1"/>
  </cols>
  <sheetData>
    <row r="4" spans="2:12" ht="14.4" thickBot="1"/>
    <row r="5" spans="2:12" ht="21.6" thickBot="1">
      <c r="B5" s="3"/>
      <c r="C5" s="3"/>
      <c r="D5" s="424" t="s">
        <v>127</v>
      </c>
      <c r="E5" s="425"/>
      <c r="F5" s="426"/>
      <c r="G5" s="500" t="s">
        <v>128</v>
      </c>
      <c r="H5" s="501"/>
      <c r="I5" s="502"/>
      <c r="J5" s="503" t="s">
        <v>104</v>
      </c>
      <c r="K5" s="504"/>
      <c r="L5" s="505"/>
    </row>
    <row r="6" spans="2:12" ht="31.8" thickBot="1">
      <c r="B6" s="430" t="s">
        <v>108</v>
      </c>
      <c r="C6" s="431"/>
      <c r="D6" s="204" t="s">
        <v>103</v>
      </c>
      <c r="E6" s="206" t="s">
        <v>105</v>
      </c>
      <c r="F6" s="204" t="s">
        <v>74</v>
      </c>
      <c r="G6" s="203" t="s">
        <v>103</v>
      </c>
      <c r="H6" s="204" t="s">
        <v>105</v>
      </c>
      <c r="I6" s="205" t="s">
        <v>74</v>
      </c>
      <c r="J6" s="203" t="s">
        <v>103</v>
      </c>
      <c r="K6" s="204" t="s">
        <v>105</v>
      </c>
      <c r="L6" s="205" t="s">
        <v>74</v>
      </c>
    </row>
    <row r="7" spans="2:12" ht="14.4">
      <c r="B7" s="432" t="s">
        <v>90</v>
      </c>
      <c r="C7" s="433"/>
      <c r="D7" s="207">
        <v>28</v>
      </c>
      <c r="E7" s="177">
        <v>166</v>
      </c>
      <c r="F7" s="351">
        <v>0.16867469879518071</v>
      </c>
      <c r="G7" s="352">
        <v>22</v>
      </c>
      <c r="H7" s="353">
        <v>92</v>
      </c>
      <c r="I7" s="354">
        <v>0.2391304347826087</v>
      </c>
      <c r="J7" s="355">
        <v>50</v>
      </c>
      <c r="K7" s="213">
        <v>258</v>
      </c>
      <c r="L7" s="354">
        <v>0.19379844961240311</v>
      </c>
    </row>
    <row r="8" spans="2:12" ht="14.4">
      <c r="B8" s="434" t="s">
        <v>91</v>
      </c>
      <c r="C8" s="435"/>
      <c r="D8" s="207">
        <v>12</v>
      </c>
      <c r="E8" s="177">
        <v>148</v>
      </c>
      <c r="F8" s="351">
        <v>8.1081081081081086E-2</v>
      </c>
      <c r="G8" s="352">
        <v>32</v>
      </c>
      <c r="H8" s="207">
        <v>116</v>
      </c>
      <c r="I8" s="354">
        <v>0.27586206896551724</v>
      </c>
      <c r="J8" s="355">
        <v>44</v>
      </c>
      <c r="K8" s="213">
        <v>264</v>
      </c>
      <c r="L8" s="354">
        <v>0.16666666666666666</v>
      </c>
    </row>
    <row r="9" spans="2:12" ht="14.4">
      <c r="B9" s="434" t="s">
        <v>92</v>
      </c>
      <c r="C9" s="435"/>
      <c r="D9" s="207">
        <v>4</v>
      </c>
      <c r="E9" s="177">
        <v>148</v>
      </c>
      <c r="F9" s="351">
        <v>2.7027027027027029E-2</v>
      </c>
      <c r="G9" s="352">
        <v>9</v>
      </c>
      <c r="H9" s="207">
        <v>97</v>
      </c>
      <c r="I9" s="354">
        <v>9.2783505154639179E-2</v>
      </c>
      <c r="J9" s="355">
        <v>13</v>
      </c>
      <c r="K9" s="213">
        <v>245</v>
      </c>
      <c r="L9" s="354">
        <v>5.3061224489795916E-2</v>
      </c>
    </row>
    <row r="10" spans="2:12" ht="14.4">
      <c r="B10" s="434" t="s">
        <v>107</v>
      </c>
      <c r="C10" s="435"/>
      <c r="D10" s="207">
        <v>26</v>
      </c>
      <c r="E10" s="177">
        <v>194</v>
      </c>
      <c r="F10" s="351">
        <v>0.13402061855670103</v>
      </c>
      <c r="G10" s="352">
        <v>31</v>
      </c>
      <c r="H10" s="207">
        <v>134</v>
      </c>
      <c r="I10" s="354">
        <v>0.23134328358208955</v>
      </c>
      <c r="J10" s="355">
        <v>57</v>
      </c>
      <c r="K10" s="213">
        <v>328</v>
      </c>
      <c r="L10" s="354">
        <v>0.17378048780487804</v>
      </c>
    </row>
    <row r="11" spans="2:12" ht="14.4">
      <c r="B11" s="434" t="s">
        <v>106</v>
      </c>
      <c r="C11" s="435"/>
      <c r="D11" s="207">
        <v>162</v>
      </c>
      <c r="E11" s="177">
        <v>194</v>
      </c>
      <c r="F11" s="351">
        <v>0.83505154639175261</v>
      </c>
      <c r="G11" s="352">
        <v>117</v>
      </c>
      <c r="H11" s="207">
        <v>134</v>
      </c>
      <c r="I11" s="354">
        <v>0.87313432835820892</v>
      </c>
      <c r="J11" s="355">
        <v>279</v>
      </c>
      <c r="K11" s="213">
        <v>328</v>
      </c>
      <c r="L11" s="354">
        <v>0.85060975609756095</v>
      </c>
    </row>
    <row r="12" spans="2:12" ht="15" thickBot="1">
      <c r="B12" s="436" t="s">
        <v>30</v>
      </c>
      <c r="C12" s="437"/>
      <c r="D12" s="214">
        <v>177</v>
      </c>
      <c r="E12" s="215">
        <v>194</v>
      </c>
      <c r="F12" s="356">
        <v>0.91237113402061853</v>
      </c>
      <c r="G12" s="357">
        <v>121</v>
      </c>
      <c r="H12" s="358">
        <v>134</v>
      </c>
      <c r="I12" s="359">
        <v>0.90298507462686572</v>
      </c>
      <c r="J12" s="360">
        <v>298</v>
      </c>
      <c r="K12" s="220">
        <v>328</v>
      </c>
      <c r="L12" s="359">
        <v>0.90853658536585369</v>
      </c>
    </row>
  </sheetData>
  <mergeCells count="10">
    <mergeCell ref="G5:I5"/>
    <mergeCell ref="J5:L5"/>
    <mergeCell ref="B6:C6"/>
    <mergeCell ref="B7:C7"/>
    <mergeCell ref="B8:C8"/>
    <mergeCell ref="B9:C9"/>
    <mergeCell ref="B10:C10"/>
    <mergeCell ref="B11:C11"/>
    <mergeCell ref="B12:C12"/>
    <mergeCell ref="D5:F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665"/>
  <sheetViews>
    <sheetView topLeftCell="A11" workbookViewId="0">
      <selection activeCell="B21" sqref="B21"/>
    </sheetView>
  </sheetViews>
  <sheetFormatPr defaultColWidth="11" defaultRowHeight="13.8"/>
  <cols>
    <col min="4" max="4" width="24.59765625" customWidth="1"/>
    <col min="6" max="6" width="34.796875" customWidth="1"/>
    <col min="16" max="16" width="17.796875" customWidth="1"/>
  </cols>
  <sheetData>
    <row r="1" spans="1:26" ht="31.8" customHeight="1">
      <c r="B1" s="82"/>
      <c r="C1" s="126" t="s">
        <v>73</v>
      </c>
      <c r="D1" s="461" t="s">
        <v>111</v>
      </c>
      <c r="E1" s="506"/>
      <c r="F1" s="125" t="s">
        <v>55</v>
      </c>
      <c r="G1" s="136" t="s">
        <v>94</v>
      </c>
      <c r="H1" s="136" t="s">
        <v>96</v>
      </c>
      <c r="I1" s="136" t="s">
        <v>97</v>
      </c>
    </row>
    <row r="2" spans="1:26" ht="14.4">
      <c r="A2" s="266">
        <v>0.6</v>
      </c>
      <c r="B2" s="82">
        <v>1</v>
      </c>
      <c r="C2" s="125">
        <v>1</v>
      </c>
      <c r="D2" s="297"/>
      <c r="E2" s="297"/>
      <c r="F2" s="201"/>
      <c r="G2" s="201"/>
      <c r="H2" s="201"/>
      <c r="I2" s="280"/>
      <c r="K2" s="324" t="s">
        <v>0</v>
      </c>
    </row>
    <row r="3" spans="1:26" ht="14.4">
      <c r="B3" s="82">
        <v>2</v>
      </c>
      <c r="C3" s="125">
        <v>2</v>
      </c>
      <c r="D3" s="326"/>
      <c r="E3" s="295"/>
      <c r="F3" s="292"/>
      <c r="G3" s="292"/>
      <c r="H3" s="292"/>
      <c r="I3" s="293"/>
      <c r="K3" s="324" t="s">
        <v>2</v>
      </c>
      <c r="L3" t="e">
        <f>COUNTIF('One year follow-up_Virtual'!#REF!, "Female")</f>
        <v>#REF!</v>
      </c>
    </row>
    <row r="4" spans="1:26" ht="15.6">
      <c r="B4" s="82">
        <v>3</v>
      </c>
      <c r="C4" s="125">
        <v>3</v>
      </c>
      <c r="D4" s="308"/>
      <c r="E4" s="309"/>
      <c r="F4" s="310"/>
      <c r="G4" s="201"/>
      <c r="H4" s="201"/>
      <c r="I4" s="280"/>
      <c r="K4" s="324" t="s">
        <v>4</v>
      </c>
      <c r="L4" t="e">
        <f>COUNTIF('One year follow-up_Virtual'!#REF!, "Male")</f>
        <v>#REF!</v>
      </c>
    </row>
    <row r="5" spans="1:26" ht="15.6">
      <c r="B5" s="82">
        <v>4</v>
      </c>
      <c r="C5" s="125">
        <v>4</v>
      </c>
      <c r="D5" s="311"/>
      <c r="E5" s="312"/>
      <c r="F5" s="306"/>
      <c r="G5" s="275"/>
      <c r="H5" s="275"/>
      <c r="I5" s="276"/>
      <c r="K5" s="324" t="s">
        <v>85</v>
      </c>
      <c r="L5" t="e">
        <f>SUM(L3:L4)</f>
        <v>#REF!</v>
      </c>
    </row>
    <row r="6" spans="1:26" ht="15.6">
      <c r="B6" s="82">
        <v>5</v>
      </c>
      <c r="C6" s="125">
        <v>5</v>
      </c>
      <c r="D6" s="313"/>
      <c r="E6" s="313"/>
      <c r="F6" s="310"/>
      <c r="G6" s="275"/>
      <c r="H6" s="275"/>
      <c r="I6" s="276"/>
    </row>
    <row r="7" spans="1:26" ht="15.6">
      <c r="B7" s="82">
        <v>6</v>
      </c>
      <c r="C7" s="125">
        <v>6</v>
      </c>
      <c r="D7" s="314"/>
      <c r="E7" s="314"/>
      <c r="F7" s="304"/>
      <c r="G7" s="275"/>
      <c r="H7" s="275"/>
      <c r="I7" s="276"/>
    </row>
    <row r="8" spans="1:26" ht="14.4">
      <c r="A8" s="84"/>
      <c r="B8" s="85"/>
      <c r="C8" s="84"/>
      <c r="D8" s="84"/>
      <c r="E8" s="86"/>
      <c r="F8" s="88" t="s">
        <v>32</v>
      </c>
      <c r="G8" s="88"/>
      <c r="H8" s="88"/>
      <c r="I8" s="88"/>
      <c r="J8" s="88"/>
      <c r="K8" s="89"/>
      <c r="L8" s="84"/>
      <c r="M8" s="84"/>
      <c r="N8" s="84"/>
      <c r="O8" s="85"/>
      <c r="P8" s="84"/>
      <c r="Q8" s="87"/>
      <c r="R8" s="84"/>
      <c r="S8" s="84"/>
      <c r="T8" s="84"/>
      <c r="U8" s="84"/>
      <c r="V8" s="84"/>
      <c r="W8" s="84"/>
      <c r="X8" s="84"/>
      <c r="Y8" s="84"/>
      <c r="Z8" s="84"/>
    </row>
    <row r="9" spans="1:26" ht="14.4">
      <c r="A9" s="84"/>
      <c r="B9" s="85"/>
      <c r="C9" s="84"/>
      <c r="D9" s="84"/>
      <c r="E9" s="86"/>
      <c r="F9" s="90" t="s">
        <v>21</v>
      </c>
      <c r="G9" s="91">
        <f>SUM(H2:H7)</f>
        <v>0</v>
      </c>
      <c r="H9" s="92" t="e">
        <f>G9=#REF!</f>
        <v>#REF!</v>
      </c>
      <c r="I9" s="92"/>
      <c r="J9" s="92"/>
      <c r="K9" s="93"/>
      <c r="L9" s="84"/>
      <c r="M9" s="84"/>
      <c r="N9" s="84"/>
      <c r="O9" s="85"/>
      <c r="P9" s="84"/>
      <c r="Q9" s="87"/>
      <c r="R9" s="84"/>
      <c r="S9" s="84"/>
      <c r="T9" s="84"/>
      <c r="U9" s="84"/>
      <c r="V9" s="84"/>
      <c r="W9" s="84"/>
      <c r="X9" s="84"/>
      <c r="Y9" s="84"/>
      <c r="Z9" s="84"/>
    </row>
    <row r="10" spans="1:26" ht="15" thickBot="1">
      <c r="A10" s="84"/>
      <c r="B10" s="94"/>
      <c r="C10" s="84"/>
      <c r="D10" s="84"/>
      <c r="E10" s="95"/>
      <c r="F10" s="96"/>
      <c r="G10" s="96"/>
      <c r="H10" s="96"/>
      <c r="I10" s="96"/>
      <c r="J10" s="96"/>
      <c r="K10" s="86"/>
      <c r="L10" s="84"/>
      <c r="M10" s="84"/>
      <c r="N10" s="84"/>
      <c r="O10" s="85"/>
      <c r="P10" s="84"/>
      <c r="Q10" s="87"/>
      <c r="R10" s="84"/>
      <c r="S10" s="84"/>
      <c r="T10" s="84"/>
      <c r="U10" s="84"/>
      <c r="V10" s="84"/>
      <c r="W10" s="84"/>
      <c r="X10" s="84"/>
      <c r="Y10" s="84"/>
      <c r="Z10" s="84"/>
    </row>
    <row r="11" spans="1:26" ht="181.95" customHeight="1" thickBot="1">
      <c r="A11" s="513" t="s">
        <v>22</v>
      </c>
      <c r="B11" s="515" t="s">
        <v>23</v>
      </c>
      <c r="C11" s="517" t="s">
        <v>24</v>
      </c>
      <c r="D11" s="519" t="s">
        <v>0</v>
      </c>
      <c r="E11" s="517" t="s">
        <v>25</v>
      </c>
      <c r="F11" s="519" t="s">
        <v>26</v>
      </c>
      <c r="G11" s="507" t="s">
        <v>70</v>
      </c>
      <c r="H11" s="508"/>
      <c r="I11" s="509"/>
      <c r="J11" s="510" t="s">
        <v>27</v>
      </c>
      <c r="K11" s="511"/>
      <c r="L11" s="511"/>
      <c r="M11" s="511"/>
      <c r="N11" s="512"/>
      <c r="O11" s="114" t="s">
        <v>30</v>
      </c>
      <c r="P11" s="115" t="s">
        <v>33</v>
      </c>
      <c r="Q11" s="114" t="s">
        <v>34</v>
      </c>
    </row>
    <row r="12" spans="1:26" ht="72.599999999999994" thickBot="1">
      <c r="A12" s="514"/>
      <c r="B12" s="516"/>
      <c r="C12" s="518"/>
      <c r="D12" s="520"/>
      <c r="E12" s="518"/>
      <c r="F12" s="520"/>
      <c r="G12" s="225" t="e">
        <f>#REF!</f>
        <v>#REF!</v>
      </c>
      <c r="H12" s="226" t="e">
        <f>#REF!</f>
        <v>#REF!</v>
      </c>
      <c r="I12" s="226" t="e">
        <f>#REF!</f>
        <v>#REF!</v>
      </c>
      <c r="J12" s="227" t="s">
        <v>83</v>
      </c>
      <c r="K12" s="221" t="e">
        <f>#REF!</f>
        <v>#REF!</v>
      </c>
      <c r="L12" s="222" t="e">
        <f>#REF!</f>
        <v>#REF!</v>
      </c>
      <c r="M12" s="223" t="e">
        <f>#REF!</f>
        <v>#REF!</v>
      </c>
      <c r="N12" s="224" t="e">
        <f>#REF!</f>
        <v>#REF!</v>
      </c>
      <c r="O12" s="117"/>
      <c r="P12" s="116"/>
      <c r="Q12" s="117"/>
    </row>
    <row r="13" spans="1:26" ht="14.4">
      <c r="B13" s="94"/>
      <c r="F13" s="98"/>
      <c r="G13" s="98"/>
      <c r="H13" s="98"/>
      <c r="I13" s="98"/>
      <c r="J13" s="98"/>
      <c r="P13" s="97"/>
      <c r="Q13" s="99"/>
    </row>
    <row r="14" spans="1:26" ht="14.4">
      <c r="B14" s="94"/>
      <c r="F14" s="98"/>
      <c r="G14" s="98"/>
      <c r="H14" s="98"/>
      <c r="I14" s="98"/>
      <c r="J14" s="98"/>
      <c r="P14" s="97"/>
      <c r="Q14" s="99"/>
    </row>
    <row r="15" spans="1:26" ht="14.4">
      <c r="B15" s="94"/>
      <c r="F15" s="98"/>
      <c r="G15" s="98"/>
      <c r="H15" s="98"/>
      <c r="I15" s="98"/>
      <c r="J15" s="98"/>
      <c r="P15" s="97"/>
      <c r="Q15" s="99"/>
    </row>
    <row r="16" spans="1:26" ht="14.4">
      <c r="B16" s="94"/>
      <c r="F16" s="98"/>
      <c r="G16" s="98"/>
      <c r="H16" s="98"/>
      <c r="I16" s="98"/>
      <c r="J16" s="98"/>
      <c r="P16" s="97"/>
      <c r="Q16" s="99"/>
    </row>
    <row r="17" spans="2:17" ht="14.4">
      <c r="B17" s="94"/>
      <c r="F17" s="98"/>
      <c r="G17" s="98"/>
      <c r="H17" s="98"/>
      <c r="I17" s="98"/>
      <c r="J17" s="98"/>
      <c r="P17" s="84"/>
      <c r="Q17" s="99"/>
    </row>
    <row r="18" spans="2:17" ht="14.4">
      <c r="B18" s="94"/>
      <c r="F18" s="98"/>
      <c r="G18" s="98"/>
      <c r="H18" s="98"/>
      <c r="I18" s="98"/>
      <c r="J18" s="98"/>
      <c r="P18" s="84"/>
      <c r="Q18" s="99"/>
    </row>
    <row r="19" spans="2:17" ht="14.4">
      <c r="B19" s="94"/>
      <c r="F19" s="98"/>
      <c r="G19" s="98"/>
      <c r="H19" s="98"/>
      <c r="I19" s="98"/>
      <c r="J19" s="98"/>
      <c r="P19" s="84"/>
      <c r="Q19" s="99"/>
    </row>
    <row r="20" spans="2:17" ht="14.4">
      <c r="B20" s="94"/>
      <c r="F20" s="98"/>
      <c r="G20" s="98"/>
      <c r="H20" s="98"/>
      <c r="I20" s="98"/>
      <c r="J20" s="98"/>
      <c r="P20" s="84"/>
      <c r="Q20" s="99"/>
    </row>
    <row r="21" spans="2:17" ht="14.4">
      <c r="B21" s="94"/>
      <c r="F21" s="98"/>
      <c r="G21" s="98"/>
      <c r="H21" s="98"/>
      <c r="I21" s="98"/>
      <c r="J21" s="98"/>
      <c r="P21" s="84"/>
      <c r="Q21" s="99"/>
    </row>
    <row r="22" spans="2:17" ht="14.4">
      <c r="B22" s="94"/>
      <c r="F22" s="98"/>
      <c r="G22" s="98"/>
      <c r="H22" s="98"/>
      <c r="I22" s="98"/>
      <c r="J22" s="98"/>
      <c r="P22" s="84"/>
      <c r="Q22" s="99"/>
    </row>
    <row r="23" spans="2:17" ht="14.4">
      <c r="B23" s="94"/>
      <c r="F23" s="98"/>
      <c r="G23" s="98"/>
      <c r="H23" s="98"/>
      <c r="I23" s="98"/>
      <c r="J23" s="98"/>
      <c r="P23" s="84"/>
      <c r="Q23" s="99"/>
    </row>
    <row r="24" spans="2:17" ht="14.4">
      <c r="B24" s="94"/>
      <c r="F24" s="98"/>
      <c r="G24" s="98"/>
      <c r="H24" s="98"/>
      <c r="I24" s="98"/>
      <c r="J24" s="98"/>
      <c r="P24" s="84"/>
      <c r="Q24" s="99"/>
    </row>
    <row r="25" spans="2:17" ht="14.4">
      <c r="B25" s="94"/>
      <c r="F25" s="98"/>
      <c r="G25" s="98"/>
      <c r="H25" s="98"/>
      <c r="I25" s="98"/>
      <c r="J25" s="98"/>
      <c r="P25" s="84"/>
      <c r="Q25" s="99"/>
    </row>
    <row r="26" spans="2:17" ht="14.4">
      <c r="B26" s="94"/>
      <c r="F26" s="98"/>
      <c r="G26" s="98"/>
      <c r="H26" s="98"/>
      <c r="I26" s="98"/>
      <c r="J26" s="98"/>
      <c r="P26" s="84"/>
      <c r="Q26" s="99"/>
    </row>
    <row r="27" spans="2:17" ht="14.4">
      <c r="B27" s="94"/>
      <c r="F27" s="98"/>
      <c r="G27" s="98"/>
      <c r="H27" s="98"/>
      <c r="I27" s="98"/>
      <c r="J27" s="98"/>
      <c r="P27" s="84"/>
      <c r="Q27" s="99"/>
    </row>
    <row r="28" spans="2:17" ht="14.4">
      <c r="B28" s="94"/>
      <c r="F28" s="98"/>
      <c r="G28" s="98"/>
      <c r="H28" s="98"/>
      <c r="I28" s="98"/>
      <c r="J28" s="98"/>
      <c r="P28" s="84"/>
      <c r="Q28" s="99"/>
    </row>
    <row r="29" spans="2:17" ht="14.4">
      <c r="B29" s="94"/>
      <c r="F29" s="98"/>
      <c r="G29" s="98"/>
      <c r="H29" s="98"/>
      <c r="I29" s="98"/>
      <c r="J29" s="98"/>
      <c r="P29" s="84"/>
      <c r="Q29" s="99"/>
    </row>
    <row r="30" spans="2:17" ht="14.4">
      <c r="B30" s="94"/>
      <c r="F30" s="98"/>
      <c r="G30" s="98"/>
      <c r="H30" s="98"/>
      <c r="I30" s="98"/>
      <c r="J30" s="98"/>
      <c r="P30" s="84"/>
      <c r="Q30" s="99"/>
    </row>
    <row r="31" spans="2:17" ht="14.4">
      <c r="B31" s="94"/>
      <c r="F31" s="98"/>
      <c r="G31" s="98"/>
      <c r="H31" s="98"/>
      <c r="I31" s="98"/>
      <c r="J31" s="98"/>
      <c r="P31" s="84"/>
      <c r="Q31" s="99"/>
    </row>
    <row r="32" spans="2:17" ht="14.4">
      <c r="B32" s="94"/>
      <c r="F32" s="98"/>
      <c r="G32" s="98"/>
      <c r="H32" s="98"/>
      <c r="I32" s="98"/>
      <c r="J32" s="98"/>
      <c r="P32" s="84"/>
      <c r="Q32" s="99"/>
    </row>
    <row r="33" spans="2:17" ht="14.4">
      <c r="B33" s="94"/>
      <c r="F33" s="98"/>
      <c r="G33" s="98"/>
      <c r="H33" s="98"/>
      <c r="I33" s="98"/>
      <c r="J33" s="98"/>
      <c r="P33" s="84"/>
      <c r="Q33" s="99"/>
    </row>
    <row r="34" spans="2:17" ht="14.4">
      <c r="B34" s="94"/>
      <c r="F34" s="98"/>
      <c r="G34" s="98"/>
      <c r="H34" s="98"/>
      <c r="I34" s="98"/>
      <c r="J34" s="98"/>
      <c r="P34" s="84"/>
      <c r="Q34" s="99"/>
    </row>
    <row r="35" spans="2:17" ht="14.4">
      <c r="B35" s="94"/>
      <c r="F35" s="98"/>
      <c r="G35" s="98"/>
      <c r="H35" s="98"/>
      <c r="I35" s="98"/>
      <c r="J35" s="98"/>
      <c r="P35" s="84"/>
      <c r="Q35" s="99"/>
    </row>
    <row r="36" spans="2:17" ht="14.4">
      <c r="B36" s="94"/>
      <c r="F36" s="98"/>
      <c r="G36" s="98"/>
      <c r="H36" s="98"/>
      <c r="I36" s="98"/>
      <c r="J36" s="98"/>
      <c r="P36" s="84"/>
      <c r="Q36" s="99"/>
    </row>
    <row r="37" spans="2:17" ht="14.4">
      <c r="B37" s="94"/>
      <c r="F37" s="98"/>
      <c r="G37" s="98"/>
      <c r="H37" s="98"/>
      <c r="I37" s="98"/>
      <c r="J37" s="98"/>
      <c r="P37" s="84"/>
      <c r="Q37" s="99"/>
    </row>
    <row r="38" spans="2:17" ht="14.4">
      <c r="B38" s="94"/>
      <c r="F38" s="98"/>
      <c r="G38" s="98"/>
      <c r="H38" s="98"/>
      <c r="I38" s="98"/>
      <c r="J38" s="98"/>
      <c r="P38" s="84"/>
      <c r="Q38" s="99"/>
    </row>
    <row r="39" spans="2:17" ht="14.4">
      <c r="B39" s="94"/>
      <c r="F39" s="98"/>
      <c r="G39" s="98"/>
      <c r="H39" s="98"/>
      <c r="I39" s="98"/>
      <c r="J39" s="98"/>
      <c r="P39" s="84"/>
      <c r="Q39" s="99"/>
    </row>
    <row r="40" spans="2:17" ht="14.4">
      <c r="B40" s="94"/>
      <c r="F40" s="98"/>
      <c r="G40" s="98"/>
      <c r="H40" s="98"/>
      <c r="I40" s="98"/>
      <c r="J40" s="98"/>
      <c r="P40" s="84"/>
      <c r="Q40" s="99"/>
    </row>
    <row r="41" spans="2:17" ht="14.4">
      <c r="B41" s="94"/>
      <c r="F41" s="98"/>
      <c r="G41" s="98"/>
      <c r="H41" s="98"/>
      <c r="I41" s="98"/>
      <c r="J41" s="98"/>
      <c r="P41" s="84"/>
      <c r="Q41" s="99"/>
    </row>
    <row r="42" spans="2:17" ht="14.4">
      <c r="B42" s="94"/>
      <c r="F42" s="98"/>
      <c r="G42" s="98"/>
      <c r="H42" s="98"/>
      <c r="I42" s="98"/>
      <c r="J42" s="98"/>
      <c r="P42" s="84"/>
      <c r="Q42" s="99"/>
    </row>
    <row r="43" spans="2:17" ht="14.4">
      <c r="B43" s="94"/>
      <c r="F43" s="98"/>
      <c r="G43" s="98"/>
      <c r="H43" s="98"/>
      <c r="I43" s="98"/>
      <c r="J43" s="98"/>
      <c r="P43" s="84"/>
      <c r="Q43" s="99"/>
    </row>
    <row r="44" spans="2:17" ht="14.4">
      <c r="B44" s="94"/>
      <c r="F44" s="98"/>
      <c r="G44" s="98"/>
      <c r="H44" s="98"/>
      <c r="I44" s="98"/>
      <c r="J44" s="98"/>
      <c r="P44" s="84"/>
      <c r="Q44" s="99"/>
    </row>
    <row r="45" spans="2:17" ht="14.4">
      <c r="B45" s="94"/>
      <c r="F45" s="98"/>
      <c r="G45" s="98"/>
      <c r="H45" s="98"/>
      <c r="I45" s="98"/>
      <c r="J45" s="98"/>
      <c r="P45" s="84"/>
      <c r="Q45" s="99"/>
    </row>
    <row r="46" spans="2:17" ht="14.4">
      <c r="B46" s="94"/>
      <c r="F46" s="98"/>
      <c r="G46" s="98"/>
      <c r="H46" s="98"/>
      <c r="I46" s="98"/>
      <c r="J46" s="98"/>
      <c r="P46" s="84"/>
      <c r="Q46" s="99"/>
    </row>
    <row r="47" spans="2:17" ht="14.4">
      <c r="B47" s="94"/>
      <c r="F47" s="98"/>
      <c r="G47" s="98"/>
      <c r="H47" s="98"/>
      <c r="I47" s="98"/>
      <c r="J47" s="98"/>
      <c r="P47" s="84"/>
      <c r="Q47" s="99"/>
    </row>
    <row r="48" spans="2:17" ht="14.4">
      <c r="B48" s="94"/>
      <c r="F48" s="98"/>
      <c r="G48" s="98"/>
      <c r="H48" s="98"/>
      <c r="I48" s="98"/>
      <c r="J48" s="98"/>
      <c r="P48" s="84"/>
      <c r="Q48" s="99"/>
    </row>
    <row r="49" spans="2:17" ht="14.4">
      <c r="B49" s="94"/>
      <c r="F49" s="98"/>
      <c r="G49" s="98"/>
      <c r="H49" s="98"/>
      <c r="I49" s="98"/>
      <c r="J49" s="98"/>
      <c r="P49" s="84"/>
      <c r="Q49" s="99"/>
    </row>
    <row r="50" spans="2:17" ht="14.4">
      <c r="B50" s="94"/>
      <c r="F50" s="98"/>
      <c r="G50" s="98"/>
      <c r="H50" s="98"/>
      <c r="I50" s="98"/>
      <c r="J50" s="98"/>
      <c r="P50" s="84"/>
      <c r="Q50" s="99"/>
    </row>
    <row r="51" spans="2:17" ht="14.4">
      <c r="B51" s="94"/>
      <c r="F51" s="98"/>
      <c r="G51" s="98"/>
      <c r="H51" s="98"/>
      <c r="I51" s="98"/>
      <c r="J51" s="98"/>
      <c r="P51" s="84"/>
      <c r="Q51" s="99"/>
    </row>
    <row r="52" spans="2:17" ht="14.4">
      <c r="B52" s="94"/>
      <c r="F52" s="98"/>
      <c r="G52" s="98"/>
      <c r="H52" s="98"/>
      <c r="I52" s="98"/>
      <c r="J52" s="98"/>
      <c r="P52" s="84"/>
      <c r="Q52" s="99"/>
    </row>
    <row r="53" spans="2:17" ht="14.4">
      <c r="B53" s="94"/>
      <c r="F53" s="98"/>
      <c r="G53" s="98"/>
      <c r="H53" s="98"/>
      <c r="I53" s="98"/>
      <c r="J53" s="98"/>
      <c r="P53" s="84"/>
      <c r="Q53" s="99"/>
    </row>
    <row r="54" spans="2:17" ht="14.4">
      <c r="B54" s="94"/>
      <c r="F54" s="98"/>
      <c r="G54" s="98"/>
      <c r="H54" s="98"/>
      <c r="I54" s="98"/>
      <c r="J54" s="98"/>
      <c r="P54" s="84"/>
      <c r="Q54" s="99"/>
    </row>
    <row r="55" spans="2:17" ht="14.4">
      <c r="B55" s="94"/>
      <c r="F55" s="98"/>
      <c r="G55" s="98"/>
      <c r="H55" s="98"/>
      <c r="I55" s="98"/>
      <c r="J55" s="98"/>
      <c r="P55" s="84"/>
      <c r="Q55" s="99"/>
    </row>
    <row r="56" spans="2:17" ht="14.4">
      <c r="B56" s="94"/>
      <c r="F56" s="98"/>
      <c r="G56" s="98"/>
      <c r="H56" s="98"/>
      <c r="I56" s="98"/>
      <c r="J56" s="98"/>
      <c r="P56" s="84"/>
      <c r="Q56" s="99"/>
    </row>
    <row r="57" spans="2:17" ht="14.4">
      <c r="B57" s="94"/>
      <c r="F57" s="98"/>
      <c r="G57" s="98"/>
      <c r="H57" s="98"/>
      <c r="I57" s="98"/>
      <c r="J57" s="98"/>
      <c r="P57" s="84"/>
      <c r="Q57" s="99"/>
    </row>
    <row r="58" spans="2:17" ht="14.4">
      <c r="B58" s="94"/>
      <c r="F58" s="98"/>
      <c r="G58" s="98"/>
      <c r="H58" s="98"/>
      <c r="I58" s="98"/>
      <c r="J58" s="98"/>
      <c r="P58" s="84"/>
      <c r="Q58" s="99"/>
    </row>
    <row r="59" spans="2:17" ht="14.4">
      <c r="B59" s="94"/>
      <c r="F59" s="98"/>
      <c r="G59" s="98"/>
      <c r="H59" s="98"/>
      <c r="I59" s="98"/>
      <c r="J59" s="98"/>
      <c r="P59" s="84"/>
      <c r="Q59" s="99"/>
    </row>
    <row r="60" spans="2:17" ht="14.4">
      <c r="B60" s="94"/>
      <c r="F60" s="98"/>
      <c r="G60" s="98"/>
      <c r="H60" s="98"/>
      <c r="I60" s="98"/>
      <c r="J60" s="98"/>
      <c r="P60" s="84"/>
      <c r="Q60" s="99"/>
    </row>
    <row r="61" spans="2:17" ht="14.4">
      <c r="B61" s="94"/>
      <c r="F61" s="98"/>
      <c r="G61" s="98"/>
      <c r="H61" s="98"/>
      <c r="I61" s="98"/>
      <c r="J61" s="98"/>
      <c r="P61" s="84"/>
      <c r="Q61" s="99"/>
    </row>
    <row r="62" spans="2:17" ht="14.4">
      <c r="B62" s="94"/>
      <c r="F62" s="98"/>
      <c r="G62" s="98"/>
      <c r="H62" s="98"/>
      <c r="I62" s="98"/>
      <c r="J62" s="98"/>
      <c r="P62" s="84"/>
      <c r="Q62" s="99"/>
    </row>
    <row r="63" spans="2:17" ht="14.4">
      <c r="B63" s="94"/>
      <c r="F63" s="98"/>
      <c r="G63" s="98"/>
      <c r="H63" s="98"/>
      <c r="I63" s="98"/>
      <c r="J63" s="98"/>
      <c r="P63" s="84"/>
      <c r="Q63" s="99"/>
    </row>
    <row r="64" spans="2:17" ht="14.4">
      <c r="B64" s="94"/>
      <c r="F64" s="98"/>
      <c r="G64" s="98"/>
      <c r="H64" s="98"/>
      <c r="I64" s="98"/>
      <c r="J64" s="98"/>
      <c r="P64" s="84"/>
      <c r="Q64" s="99"/>
    </row>
    <row r="65" spans="2:17" ht="14.4">
      <c r="B65" s="94"/>
      <c r="F65" s="98"/>
      <c r="G65" s="98"/>
      <c r="H65" s="98"/>
      <c r="I65" s="98"/>
      <c r="J65" s="98"/>
      <c r="P65" s="84"/>
      <c r="Q65" s="99"/>
    </row>
    <row r="66" spans="2:17" ht="14.4">
      <c r="B66" s="94"/>
      <c r="F66" s="98"/>
      <c r="G66" s="98"/>
      <c r="H66" s="98"/>
      <c r="I66" s="98"/>
      <c r="J66" s="98"/>
      <c r="P66" s="84"/>
      <c r="Q66" s="99"/>
    </row>
    <row r="67" spans="2:17" ht="14.4">
      <c r="B67" s="94"/>
      <c r="F67" s="98"/>
      <c r="G67" s="98"/>
      <c r="H67" s="98"/>
      <c r="I67" s="98"/>
      <c r="J67" s="98"/>
      <c r="P67" s="84"/>
      <c r="Q67" s="99"/>
    </row>
    <row r="68" spans="2:17" ht="14.4">
      <c r="B68" s="94"/>
      <c r="F68" s="98"/>
      <c r="G68" s="98"/>
      <c r="H68" s="98"/>
      <c r="I68" s="98"/>
      <c r="J68" s="98"/>
      <c r="P68" s="84"/>
      <c r="Q68" s="99"/>
    </row>
    <row r="69" spans="2:17" ht="14.4">
      <c r="B69" s="94"/>
      <c r="F69" s="98"/>
      <c r="G69" s="98"/>
      <c r="H69" s="98"/>
      <c r="I69" s="98"/>
      <c r="J69" s="98"/>
      <c r="P69" s="84"/>
      <c r="Q69" s="99"/>
    </row>
    <row r="70" spans="2:17" ht="14.4">
      <c r="B70" s="94"/>
      <c r="F70" s="98"/>
      <c r="G70" s="98"/>
      <c r="H70" s="98"/>
      <c r="I70" s="98"/>
      <c r="J70" s="98"/>
      <c r="P70" s="84"/>
      <c r="Q70" s="99"/>
    </row>
    <row r="71" spans="2:17" ht="14.4">
      <c r="B71" s="94"/>
      <c r="F71" s="98"/>
      <c r="G71" s="98"/>
      <c r="H71" s="98"/>
      <c r="I71" s="98"/>
      <c r="J71" s="98"/>
      <c r="P71" s="84"/>
      <c r="Q71" s="99"/>
    </row>
    <row r="72" spans="2:17" ht="14.4">
      <c r="B72" s="94"/>
      <c r="F72" s="98"/>
      <c r="G72" s="98"/>
      <c r="H72" s="98"/>
      <c r="I72" s="98"/>
      <c r="J72" s="98"/>
      <c r="P72" s="84"/>
      <c r="Q72" s="99"/>
    </row>
    <row r="73" spans="2:17" ht="14.4">
      <c r="B73" s="94"/>
      <c r="F73" s="98"/>
      <c r="G73" s="98"/>
      <c r="H73" s="98"/>
      <c r="I73" s="98"/>
      <c r="J73" s="98"/>
      <c r="P73" s="84"/>
      <c r="Q73" s="99"/>
    </row>
    <row r="74" spans="2:17" ht="14.4">
      <c r="B74" s="94"/>
      <c r="F74" s="98"/>
      <c r="G74" s="98"/>
      <c r="H74" s="98"/>
      <c r="I74" s="98"/>
      <c r="J74" s="98"/>
      <c r="P74" s="84"/>
      <c r="Q74" s="99"/>
    </row>
    <row r="75" spans="2:17" ht="14.4">
      <c r="B75" s="94"/>
      <c r="F75" s="98"/>
      <c r="G75" s="98"/>
      <c r="H75" s="98"/>
      <c r="I75" s="98"/>
      <c r="J75" s="98"/>
      <c r="P75" s="84"/>
      <c r="Q75" s="99"/>
    </row>
    <row r="76" spans="2:17" ht="14.4">
      <c r="B76" s="94"/>
      <c r="F76" s="98"/>
      <c r="G76" s="98"/>
      <c r="H76" s="98"/>
      <c r="I76" s="98"/>
      <c r="J76" s="98"/>
      <c r="P76" s="84"/>
      <c r="Q76" s="99"/>
    </row>
    <row r="77" spans="2:17" ht="14.4">
      <c r="B77" s="94"/>
      <c r="F77" s="98"/>
      <c r="G77" s="98"/>
      <c r="H77" s="98"/>
      <c r="I77" s="98"/>
      <c r="J77" s="98"/>
      <c r="P77" s="84"/>
      <c r="Q77" s="99"/>
    </row>
    <row r="78" spans="2:17" ht="14.4">
      <c r="B78" s="94"/>
      <c r="F78" s="98"/>
      <c r="G78" s="98"/>
      <c r="H78" s="98"/>
      <c r="I78" s="98"/>
      <c r="J78" s="98"/>
      <c r="P78" s="84"/>
      <c r="Q78" s="99"/>
    </row>
    <row r="79" spans="2:17" ht="14.4">
      <c r="B79" s="94"/>
      <c r="F79" s="98"/>
      <c r="G79" s="98"/>
      <c r="H79" s="98"/>
      <c r="I79" s="98"/>
      <c r="J79" s="98"/>
      <c r="P79" s="84"/>
      <c r="Q79" s="99"/>
    </row>
    <row r="80" spans="2:17" ht="14.4">
      <c r="B80" s="94"/>
      <c r="F80" s="98"/>
      <c r="G80" s="98"/>
      <c r="H80" s="98"/>
      <c r="I80" s="98"/>
      <c r="J80" s="98"/>
      <c r="P80" s="84"/>
      <c r="Q80" s="99"/>
    </row>
    <row r="81" spans="2:17" ht="14.4">
      <c r="B81" s="94"/>
      <c r="F81" s="98"/>
      <c r="G81" s="98"/>
      <c r="H81" s="98"/>
      <c r="I81" s="98"/>
      <c r="J81" s="98"/>
      <c r="P81" s="84"/>
      <c r="Q81" s="99"/>
    </row>
    <row r="82" spans="2:17" ht="14.4">
      <c r="B82" s="94"/>
      <c r="F82" s="98"/>
      <c r="G82" s="98"/>
      <c r="H82" s="98"/>
      <c r="I82" s="98"/>
      <c r="J82" s="98"/>
      <c r="P82" s="84"/>
      <c r="Q82" s="99"/>
    </row>
    <row r="83" spans="2:17" ht="14.4">
      <c r="B83" s="94"/>
      <c r="F83" s="98"/>
      <c r="G83" s="98"/>
      <c r="H83" s="98"/>
      <c r="I83" s="98"/>
      <c r="J83" s="98"/>
      <c r="P83" s="84"/>
      <c r="Q83" s="99"/>
    </row>
    <row r="84" spans="2:17" ht="14.4">
      <c r="B84" s="94"/>
      <c r="F84" s="98"/>
      <c r="G84" s="98"/>
      <c r="H84" s="98"/>
      <c r="I84" s="98"/>
      <c r="J84" s="98"/>
      <c r="P84" s="84"/>
      <c r="Q84" s="99"/>
    </row>
    <row r="85" spans="2:17" ht="14.4">
      <c r="B85" s="94"/>
      <c r="F85" s="98"/>
      <c r="G85" s="98"/>
      <c r="H85" s="98"/>
      <c r="I85" s="98"/>
      <c r="J85" s="98"/>
      <c r="P85" s="84"/>
      <c r="Q85" s="99"/>
    </row>
    <row r="86" spans="2:17" ht="14.4">
      <c r="B86" s="94"/>
      <c r="F86" s="98"/>
      <c r="G86" s="98"/>
      <c r="H86" s="98"/>
      <c r="I86" s="98"/>
      <c r="J86" s="98"/>
      <c r="P86" s="84"/>
      <c r="Q86" s="99"/>
    </row>
    <row r="87" spans="2:17" ht="14.4">
      <c r="B87" s="94"/>
      <c r="F87" s="98"/>
      <c r="G87" s="98"/>
      <c r="H87" s="98"/>
      <c r="I87" s="98"/>
      <c r="J87" s="98"/>
      <c r="P87" s="84"/>
      <c r="Q87" s="99"/>
    </row>
    <row r="88" spans="2:17" ht="14.4">
      <c r="B88" s="94"/>
      <c r="F88" s="98"/>
      <c r="G88" s="98"/>
      <c r="H88" s="98"/>
      <c r="I88" s="98"/>
      <c r="J88" s="98"/>
      <c r="P88" s="84"/>
      <c r="Q88" s="99"/>
    </row>
    <row r="89" spans="2:17" ht="14.4">
      <c r="B89" s="94"/>
      <c r="F89" s="98"/>
      <c r="G89" s="98"/>
      <c r="H89" s="98"/>
      <c r="I89" s="98"/>
      <c r="J89" s="98"/>
      <c r="P89" s="84"/>
      <c r="Q89" s="99"/>
    </row>
    <row r="90" spans="2:17" ht="14.4">
      <c r="B90" s="94"/>
      <c r="F90" s="98"/>
      <c r="G90" s="98"/>
      <c r="H90" s="98"/>
      <c r="I90" s="98"/>
      <c r="J90" s="98"/>
      <c r="P90" s="84"/>
      <c r="Q90" s="99"/>
    </row>
    <row r="91" spans="2:17" ht="14.4">
      <c r="B91" s="94"/>
      <c r="F91" s="98"/>
      <c r="G91" s="98"/>
      <c r="H91" s="98"/>
      <c r="I91" s="98"/>
      <c r="J91" s="98"/>
      <c r="P91" s="84"/>
      <c r="Q91" s="99"/>
    </row>
    <row r="92" spans="2:17" ht="14.4">
      <c r="B92" s="94"/>
      <c r="F92" s="98"/>
      <c r="G92" s="98"/>
      <c r="H92" s="98"/>
      <c r="I92" s="98"/>
      <c r="J92" s="98"/>
      <c r="P92" s="84"/>
      <c r="Q92" s="99"/>
    </row>
    <row r="93" spans="2:17" ht="14.4">
      <c r="B93" s="94"/>
      <c r="F93" s="98"/>
      <c r="G93" s="98"/>
      <c r="H93" s="98"/>
      <c r="I93" s="98"/>
      <c r="J93" s="98"/>
      <c r="P93" s="84"/>
      <c r="Q93" s="99"/>
    </row>
    <row r="94" spans="2:17" ht="14.4">
      <c r="B94" s="94"/>
      <c r="F94" s="98"/>
      <c r="G94" s="98"/>
      <c r="H94" s="98"/>
      <c r="I94" s="98"/>
      <c r="J94" s="98"/>
      <c r="P94" s="84"/>
      <c r="Q94" s="99"/>
    </row>
    <row r="95" spans="2:17" ht="14.4">
      <c r="B95" s="94"/>
      <c r="F95" s="98"/>
      <c r="G95" s="98"/>
      <c r="H95" s="98"/>
      <c r="I95" s="98"/>
      <c r="J95" s="98"/>
      <c r="P95" s="84"/>
      <c r="Q95" s="99"/>
    </row>
    <row r="96" spans="2:17" ht="14.4">
      <c r="B96" s="94"/>
      <c r="F96" s="98"/>
      <c r="G96" s="98"/>
      <c r="H96" s="98"/>
      <c r="I96" s="98"/>
      <c r="J96" s="98"/>
      <c r="P96" s="84"/>
      <c r="Q96" s="99"/>
    </row>
    <row r="97" spans="2:17" ht="14.4">
      <c r="B97" s="94"/>
      <c r="F97" s="98"/>
      <c r="G97" s="98"/>
      <c r="H97" s="98"/>
      <c r="I97" s="98"/>
      <c r="J97" s="98"/>
      <c r="P97" s="84"/>
      <c r="Q97" s="99"/>
    </row>
    <row r="98" spans="2:17" ht="14.4">
      <c r="B98" s="94"/>
      <c r="F98" s="98"/>
      <c r="G98" s="98"/>
      <c r="H98" s="98"/>
      <c r="I98" s="98"/>
      <c r="J98" s="98"/>
      <c r="P98" s="84"/>
      <c r="Q98" s="99"/>
    </row>
    <row r="99" spans="2:17" ht="14.4">
      <c r="B99" s="94"/>
      <c r="F99" s="98"/>
      <c r="G99" s="98"/>
      <c r="H99" s="98"/>
      <c r="I99" s="98"/>
      <c r="J99" s="98"/>
      <c r="P99" s="84"/>
      <c r="Q99" s="99"/>
    </row>
    <row r="100" spans="2:17" ht="14.4">
      <c r="B100" s="94"/>
      <c r="F100" s="98"/>
      <c r="G100" s="98"/>
      <c r="H100" s="98"/>
      <c r="I100" s="98"/>
      <c r="J100" s="98"/>
      <c r="P100" s="84"/>
      <c r="Q100" s="99"/>
    </row>
    <row r="101" spans="2:17" ht="14.4">
      <c r="B101" s="94"/>
      <c r="F101" s="98"/>
      <c r="G101" s="98"/>
      <c r="H101" s="98"/>
      <c r="I101" s="98"/>
      <c r="J101" s="98"/>
      <c r="P101" s="84"/>
      <c r="Q101" s="99"/>
    </row>
    <row r="102" spans="2:17" ht="14.4">
      <c r="B102" s="94"/>
      <c r="F102" s="98"/>
      <c r="G102" s="98"/>
      <c r="H102" s="98"/>
      <c r="I102" s="98"/>
      <c r="J102" s="98"/>
      <c r="P102" s="84"/>
      <c r="Q102" s="99"/>
    </row>
    <row r="103" spans="2:17" ht="14.4">
      <c r="B103" s="94"/>
      <c r="F103" s="98"/>
      <c r="G103" s="98"/>
      <c r="H103" s="98"/>
      <c r="I103" s="98"/>
      <c r="J103" s="98"/>
      <c r="P103" s="84"/>
      <c r="Q103" s="99"/>
    </row>
    <row r="104" spans="2:17" ht="14.4">
      <c r="B104" s="94"/>
      <c r="F104" s="98"/>
      <c r="G104" s="98"/>
      <c r="H104" s="98"/>
      <c r="I104" s="98"/>
      <c r="J104" s="98"/>
      <c r="P104" s="84"/>
      <c r="Q104" s="99"/>
    </row>
    <row r="105" spans="2:17" ht="14.4">
      <c r="B105" s="94"/>
      <c r="F105" s="98"/>
      <c r="G105" s="98"/>
      <c r="H105" s="98"/>
      <c r="I105" s="98"/>
      <c r="J105" s="98"/>
      <c r="P105" s="84"/>
      <c r="Q105" s="99"/>
    </row>
    <row r="106" spans="2:17" ht="14.4">
      <c r="B106" s="94"/>
      <c r="F106" s="98"/>
      <c r="G106" s="98"/>
      <c r="H106" s="98"/>
      <c r="I106" s="98"/>
      <c r="J106" s="98"/>
      <c r="P106" s="84"/>
      <c r="Q106" s="99"/>
    </row>
    <row r="107" spans="2:17" ht="14.4">
      <c r="B107" s="94"/>
      <c r="F107" s="98"/>
      <c r="G107" s="98"/>
      <c r="H107" s="98"/>
      <c r="I107" s="98"/>
      <c r="J107" s="98"/>
      <c r="P107" s="84"/>
      <c r="Q107" s="99"/>
    </row>
    <row r="108" spans="2:17" ht="14.4">
      <c r="B108" s="94"/>
      <c r="F108" s="98"/>
      <c r="G108" s="98"/>
      <c r="H108" s="98"/>
      <c r="I108" s="98"/>
      <c r="J108" s="98"/>
      <c r="P108" s="84"/>
      <c r="Q108" s="99"/>
    </row>
    <row r="109" spans="2:17" ht="14.4">
      <c r="B109" s="94"/>
      <c r="F109" s="98"/>
      <c r="G109" s="98"/>
      <c r="H109" s="98"/>
      <c r="I109" s="98"/>
      <c r="J109" s="98"/>
      <c r="P109" s="84"/>
      <c r="Q109" s="99"/>
    </row>
    <row r="110" spans="2:17" ht="14.4">
      <c r="B110" s="94"/>
      <c r="F110" s="98"/>
      <c r="G110" s="98"/>
      <c r="H110" s="98"/>
      <c r="I110" s="98"/>
      <c r="J110" s="98"/>
      <c r="P110" s="84"/>
      <c r="Q110" s="99"/>
    </row>
    <row r="111" spans="2:17" ht="14.4">
      <c r="B111" s="94"/>
      <c r="F111" s="98"/>
      <c r="G111" s="98"/>
      <c r="H111" s="98"/>
      <c r="I111" s="98"/>
      <c r="J111" s="98"/>
      <c r="P111" s="84"/>
      <c r="Q111" s="99"/>
    </row>
    <row r="112" spans="2:17" ht="14.4">
      <c r="B112" s="94"/>
      <c r="F112" s="98"/>
      <c r="G112" s="98"/>
      <c r="H112" s="98"/>
      <c r="I112" s="98"/>
      <c r="J112" s="98"/>
      <c r="P112" s="84"/>
      <c r="Q112" s="99"/>
    </row>
    <row r="113" spans="2:17" ht="14.4">
      <c r="B113" s="94"/>
      <c r="F113" s="98"/>
      <c r="G113" s="98"/>
      <c r="H113" s="98"/>
      <c r="I113" s="98"/>
      <c r="J113" s="98"/>
      <c r="P113" s="84"/>
      <c r="Q113" s="99"/>
    </row>
    <row r="114" spans="2:17" ht="14.4">
      <c r="B114" s="94"/>
      <c r="F114" s="98"/>
      <c r="G114" s="98"/>
      <c r="H114" s="98"/>
      <c r="I114" s="98"/>
      <c r="J114" s="98"/>
      <c r="P114" s="84"/>
      <c r="Q114" s="99"/>
    </row>
    <row r="115" spans="2:17" ht="14.4">
      <c r="B115" s="94"/>
      <c r="F115" s="98"/>
      <c r="G115" s="98"/>
      <c r="H115" s="98"/>
      <c r="I115" s="98"/>
      <c r="J115" s="98"/>
      <c r="P115" s="84"/>
      <c r="Q115" s="99"/>
    </row>
    <row r="116" spans="2:17" ht="14.4">
      <c r="B116" s="94"/>
      <c r="F116" s="98"/>
      <c r="G116" s="98"/>
      <c r="H116" s="98"/>
      <c r="I116" s="98"/>
      <c r="J116" s="98"/>
      <c r="P116" s="84"/>
      <c r="Q116" s="99"/>
    </row>
    <row r="117" spans="2:17" ht="14.4">
      <c r="B117" s="94"/>
      <c r="F117" s="98"/>
      <c r="G117" s="98"/>
      <c r="H117" s="98"/>
      <c r="I117" s="98"/>
      <c r="J117" s="98"/>
      <c r="P117" s="84"/>
      <c r="Q117" s="99"/>
    </row>
    <row r="118" spans="2:17" ht="14.4">
      <c r="B118" s="94"/>
      <c r="F118" s="98"/>
      <c r="G118" s="98"/>
      <c r="H118" s="98"/>
      <c r="I118" s="98"/>
      <c r="J118" s="98"/>
      <c r="P118" s="84"/>
      <c r="Q118" s="99"/>
    </row>
    <row r="119" spans="2:17" ht="14.4">
      <c r="B119" s="94"/>
      <c r="F119" s="98"/>
      <c r="G119" s="98"/>
      <c r="H119" s="98"/>
      <c r="I119" s="98"/>
      <c r="J119" s="98"/>
      <c r="P119" s="84"/>
      <c r="Q119" s="99"/>
    </row>
    <row r="120" spans="2:17" ht="14.4">
      <c r="B120" s="94"/>
      <c r="F120" s="98"/>
      <c r="G120" s="98"/>
      <c r="H120" s="98"/>
      <c r="I120" s="98"/>
      <c r="J120" s="98"/>
      <c r="P120" s="84"/>
      <c r="Q120" s="99"/>
    </row>
    <row r="121" spans="2:17" ht="14.4">
      <c r="B121" s="94"/>
      <c r="F121" s="98"/>
      <c r="G121" s="98"/>
      <c r="H121" s="98"/>
      <c r="I121" s="98"/>
      <c r="J121" s="98"/>
      <c r="P121" s="84"/>
      <c r="Q121" s="99"/>
    </row>
    <row r="122" spans="2:17" ht="14.4">
      <c r="B122" s="94"/>
      <c r="F122" s="98"/>
      <c r="G122" s="98"/>
      <c r="H122" s="98"/>
      <c r="I122" s="98"/>
      <c r="J122" s="98"/>
      <c r="P122" s="84"/>
      <c r="Q122" s="99"/>
    </row>
    <row r="123" spans="2:17" ht="14.4">
      <c r="B123" s="94"/>
      <c r="F123" s="98"/>
      <c r="G123" s="98"/>
      <c r="H123" s="98"/>
      <c r="I123" s="98"/>
      <c r="J123" s="98"/>
      <c r="P123" s="84"/>
      <c r="Q123" s="99"/>
    </row>
    <row r="124" spans="2:17" ht="14.4">
      <c r="B124" s="94"/>
      <c r="F124" s="98"/>
      <c r="G124" s="98"/>
      <c r="H124" s="98"/>
      <c r="I124" s="98"/>
      <c r="J124" s="98"/>
      <c r="P124" s="84"/>
      <c r="Q124" s="99"/>
    </row>
    <row r="125" spans="2:17" ht="14.4">
      <c r="B125" s="94"/>
      <c r="F125" s="98"/>
      <c r="G125" s="98"/>
      <c r="H125" s="98"/>
      <c r="I125" s="98"/>
      <c r="J125" s="98"/>
      <c r="P125" s="84"/>
      <c r="Q125" s="99"/>
    </row>
    <row r="126" spans="2:17" ht="14.4">
      <c r="B126" s="94"/>
      <c r="F126" s="98"/>
      <c r="G126" s="98"/>
      <c r="H126" s="98"/>
      <c r="I126" s="98"/>
      <c r="J126" s="98"/>
      <c r="P126" s="84"/>
      <c r="Q126" s="99"/>
    </row>
    <row r="127" spans="2:17" ht="14.4">
      <c r="B127" s="94"/>
      <c r="F127" s="98"/>
      <c r="G127" s="98"/>
      <c r="H127" s="98"/>
      <c r="I127" s="98"/>
      <c r="J127" s="98"/>
      <c r="P127" s="84"/>
      <c r="Q127" s="99"/>
    </row>
    <row r="128" spans="2:17" ht="14.4">
      <c r="B128" s="94"/>
      <c r="F128" s="98"/>
      <c r="G128" s="98"/>
      <c r="H128" s="98"/>
      <c r="I128" s="98"/>
      <c r="J128" s="98"/>
      <c r="P128" s="84"/>
      <c r="Q128" s="99"/>
    </row>
    <row r="129" spans="2:17" ht="14.4">
      <c r="B129" s="94"/>
      <c r="F129" s="98"/>
      <c r="G129" s="98"/>
      <c r="H129" s="98"/>
      <c r="I129" s="98"/>
      <c r="J129" s="98"/>
      <c r="P129" s="84"/>
      <c r="Q129" s="99"/>
    </row>
    <row r="130" spans="2:17" ht="14.4">
      <c r="B130" s="94"/>
      <c r="F130" s="98"/>
      <c r="G130" s="98"/>
      <c r="H130" s="98"/>
      <c r="I130" s="98"/>
      <c r="J130" s="98"/>
      <c r="P130" s="84"/>
      <c r="Q130" s="99"/>
    </row>
    <row r="131" spans="2:17" ht="14.4">
      <c r="B131" s="94"/>
      <c r="F131" s="98"/>
      <c r="G131" s="98"/>
      <c r="H131" s="98"/>
      <c r="I131" s="98"/>
      <c r="J131" s="98"/>
      <c r="P131" s="84"/>
      <c r="Q131" s="99"/>
    </row>
    <row r="132" spans="2:17" ht="14.4">
      <c r="B132" s="94"/>
      <c r="F132" s="98"/>
      <c r="G132" s="98"/>
      <c r="H132" s="98"/>
      <c r="I132" s="98"/>
      <c r="J132" s="98"/>
      <c r="P132" s="84"/>
      <c r="Q132" s="99"/>
    </row>
    <row r="133" spans="2:17" ht="14.4">
      <c r="B133" s="94"/>
      <c r="F133" s="98"/>
      <c r="G133" s="98"/>
      <c r="H133" s="98"/>
      <c r="I133" s="98"/>
      <c r="J133" s="98"/>
      <c r="P133" s="84"/>
      <c r="Q133" s="99"/>
    </row>
    <row r="134" spans="2:17" ht="14.4">
      <c r="B134" s="94"/>
      <c r="F134" s="98"/>
      <c r="G134" s="98"/>
      <c r="H134" s="98"/>
      <c r="I134" s="98"/>
      <c r="J134" s="98"/>
      <c r="P134" s="84"/>
      <c r="Q134" s="99"/>
    </row>
    <row r="135" spans="2:17" ht="14.4">
      <c r="B135" s="94"/>
      <c r="F135" s="98"/>
      <c r="G135" s="98"/>
      <c r="H135" s="98"/>
      <c r="I135" s="98"/>
      <c r="J135" s="98"/>
      <c r="P135" s="84"/>
      <c r="Q135" s="99"/>
    </row>
    <row r="136" spans="2:17" ht="14.4">
      <c r="B136" s="94"/>
      <c r="F136" s="98"/>
      <c r="G136" s="98"/>
      <c r="H136" s="98"/>
      <c r="I136" s="98"/>
      <c r="J136" s="98"/>
      <c r="P136" s="84"/>
      <c r="Q136" s="99"/>
    </row>
    <row r="137" spans="2:17" ht="14.4">
      <c r="B137" s="94"/>
      <c r="F137" s="98"/>
      <c r="G137" s="98"/>
      <c r="H137" s="98"/>
      <c r="I137" s="98"/>
      <c r="J137" s="98"/>
      <c r="P137" s="84"/>
      <c r="Q137" s="99"/>
    </row>
    <row r="138" spans="2:17" ht="14.4">
      <c r="B138" s="94"/>
      <c r="F138" s="98"/>
      <c r="G138" s="98"/>
      <c r="H138" s="98"/>
      <c r="I138" s="98"/>
      <c r="J138" s="98"/>
      <c r="P138" s="84"/>
      <c r="Q138" s="99"/>
    </row>
    <row r="139" spans="2:17" ht="14.4">
      <c r="B139" s="94"/>
      <c r="F139" s="98"/>
      <c r="G139" s="98"/>
      <c r="H139" s="98"/>
      <c r="I139" s="98"/>
      <c r="J139" s="98"/>
      <c r="P139" s="84"/>
      <c r="Q139" s="99"/>
    </row>
    <row r="140" spans="2:17" ht="14.4">
      <c r="B140" s="94"/>
      <c r="F140" s="98"/>
      <c r="G140" s="98"/>
      <c r="H140" s="98"/>
      <c r="I140" s="98"/>
      <c r="J140" s="98"/>
      <c r="P140" s="84"/>
      <c r="Q140" s="99"/>
    </row>
    <row r="141" spans="2:17" ht="14.4">
      <c r="B141" s="94"/>
      <c r="F141" s="98"/>
      <c r="G141" s="98"/>
      <c r="H141" s="98"/>
      <c r="I141" s="98"/>
      <c r="J141" s="98"/>
      <c r="P141" s="84"/>
      <c r="Q141" s="99"/>
    </row>
    <row r="142" spans="2:17" ht="14.4">
      <c r="B142" s="94"/>
      <c r="F142" s="98"/>
      <c r="G142" s="98"/>
      <c r="H142" s="98"/>
      <c r="I142" s="98"/>
      <c r="J142" s="98"/>
      <c r="P142" s="84"/>
      <c r="Q142" s="99"/>
    </row>
    <row r="143" spans="2:17" ht="14.4">
      <c r="B143" s="94"/>
      <c r="F143" s="98"/>
      <c r="G143" s="98"/>
      <c r="H143" s="98"/>
      <c r="I143" s="98"/>
      <c r="J143" s="98"/>
      <c r="P143" s="84"/>
      <c r="Q143" s="99"/>
    </row>
    <row r="144" spans="2:17" ht="14.4">
      <c r="B144" s="94"/>
      <c r="F144" s="98"/>
      <c r="G144" s="98"/>
      <c r="H144" s="98"/>
      <c r="I144" s="98"/>
      <c r="J144" s="98"/>
      <c r="P144" s="84"/>
      <c r="Q144" s="99"/>
    </row>
    <row r="145" spans="2:17" ht="14.4">
      <c r="B145" s="94"/>
      <c r="F145" s="98"/>
      <c r="G145" s="98"/>
      <c r="H145" s="98"/>
      <c r="I145" s="98"/>
      <c r="J145" s="98"/>
      <c r="P145" s="84"/>
      <c r="Q145" s="99"/>
    </row>
    <row r="146" spans="2:17" ht="14.4">
      <c r="B146" s="94"/>
      <c r="F146" s="98"/>
      <c r="G146" s="98"/>
      <c r="H146" s="98"/>
      <c r="I146" s="98"/>
      <c r="J146" s="98"/>
      <c r="P146" s="84"/>
      <c r="Q146" s="99"/>
    </row>
    <row r="147" spans="2:17" ht="14.4">
      <c r="B147" s="94"/>
      <c r="F147" s="98"/>
      <c r="G147" s="98"/>
      <c r="H147" s="98"/>
      <c r="I147" s="98"/>
      <c r="J147" s="98"/>
      <c r="P147" s="84"/>
      <c r="Q147" s="99"/>
    </row>
    <row r="148" spans="2:17" ht="14.4">
      <c r="B148" s="94"/>
      <c r="F148" s="98"/>
      <c r="G148" s="98"/>
      <c r="H148" s="98"/>
      <c r="I148" s="98"/>
      <c r="J148" s="98"/>
      <c r="P148" s="84"/>
      <c r="Q148" s="99"/>
    </row>
    <row r="149" spans="2:17" ht="14.4">
      <c r="B149" s="94"/>
      <c r="F149" s="98"/>
      <c r="G149" s="98"/>
      <c r="H149" s="98"/>
      <c r="I149" s="98"/>
      <c r="J149" s="98"/>
      <c r="P149" s="84"/>
      <c r="Q149" s="99"/>
    </row>
    <row r="150" spans="2:17" ht="14.4">
      <c r="B150" s="94"/>
      <c r="F150" s="98"/>
      <c r="G150" s="98"/>
      <c r="H150" s="98"/>
      <c r="I150" s="98"/>
      <c r="J150" s="98"/>
      <c r="P150" s="84"/>
      <c r="Q150" s="99"/>
    </row>
    <row r="151" spans="2:17" ht="14.4">
      <c r="B151" s="94"/>
      <c r="F151" s="98"/>
      <c r="G151" s="98"/>
      <c r="H151" s="98"/>
      <c r="I151" s="98"/>
      <c r="J151" s="98"/>
      <c r="P151" s="84"/>
      <c r="Q151" s="99"/>
    </row>
    <row r="152" spans="2:17" ht="14.4">
      <c r="B152" s="94"/>
      <c r="F152" s="98"/>
      <c r="G152" s="98"/>
      <c r="H152" s="98"/>
      <c r="I152" s="98"/>
      <c r="J152" s="98"/>
      <c r="P152" s="84"/>
      <c r="Q152" s="99"/>
    </row>
    <row r="153" spans="2:17" ht="14.4">
      <c r="B153" s="94"/>
      <c r="F153" s="98"/>
      <c r="G153" s="98"/>
      <c r="H153" s="98"/>
      <c r="I153" s="98"/>
      <c r="J153" s="98"/>
      <c r="P153" s="84"/>
      <c r="Q153" s="99"/>
    </row>
    <row r="154" spans="2:17" ht="14.4">
      <c r="B154" s="94"/>
      <c r="F154" s="98"/>
      <c r="G154" s="98"/>
      <c r="H154" s="98"/>
      <c r="I154" s="98"/>
      <c r="J154" s="98"/>
      <c r="P154" s="84"/>
      <c r="Q154" s="99"/>
    </row>
    <row r="155" spans="2:17" ht="14.4">
      <c r="B155" s="94"/>
      <c r="F155" s="98"/>
      <c r="G155" s="98"/>
      <c r="H155" s="98"/>
      <c r="I155" s="98"/>
      <c r="J155" s="98"/>
      <c r="P155" s="84"/>
      <c r="Q155" s="99"/>
    </row>
    <row r="156" spans="2:17" ht="14.4">
      <c r="B156" s="94"/>
      <c r="F156" s="98"/>
      <c r="G156" s="98"/>
      <c r="H156" s="98"/>
      <c r="I156" s="98"/>
      <c r="J156" s="98"/>
      <c r="P156" s="84"/>
      <c r="Q156" s="99"/>
    </row>
    <row r="157" spans="2:17" ht="14.4">
      <c r="B157" s="94"/>
      <c r="F157" s="98"/>
      <c r="G157" s="98"/>
      <c r="H157" s="98"/>
      <c r="I157" s="98"/>
      <c r="J157" s="98"/>
      <c r="P157" s="84"/>
      <c r="Q157" s="99"/>
    </row>
    <row r="158" spans="2:17" ht="14.4">
      <c r="B158" s="94"/>
      <c r="F158" s="98"/>
      <c r="G158" s="98"/>
      <c r="H158" s="98"/>
      <c r="I158" s="98"/>
      <c r="J158" s="98"/>
      <c r="P158" s="84"/>
      <c r="Q158" s="99"/>
    </row>
    <row r="159" spans="2:17" ht="14.4">
      <c r="B159" s="94"/>
      <c r="F159" s="98"/>
      <c r="G159" s="98"/>
      <c r="H159" s="98"/>
      <c r="I159" s="98"/>
      <c r="J159" s="98"/>
      <c r="P159" s="84"/>
      <c r="Q159" s="99"/>
    </row>
    <row r="160" spans="2:17" ht="14.4">
      <c r="B160" s="94"/>
      <c r="F160" s="98"/>
      <c r="G160" s="98"/>
      <c r="H160" s="98"/>
      <c r="I160" s="98"/>
      <c r="J160" s="98"/>
      <c r="P160" s="84"/>
      <c r="Q160" s="99"/>
    </row>
    <row r="161" spans="2:17" ht="14.4">
      <c r="B161" s="94"/>
      <c r="F161" s="98"/>
      <c r="G161" s="98"/>
      <c r="H161" s="98"/>
      <c r="I161" s="98"/>
      <c r="J161" s="98"/>
      <c r="P161" s="84"/>
      <c r="Q161" s="99"/>
    </row>
    <row r="162" spans="2:17" ht="14.4">
      <c r="B162" s="94"/>
      <c r="F162" s="98"/>
      <c r="G162" s="98"/>
      <c r="H162" s="98"/>
      <c r="I162" s="98"/>
      <c r="J162" s="98"/>
      <c r="P162" s="84"/>
      <c r="Q162" s="99"/>
    </row>
    <row r="163" spans="2:17" ht="14.4">
      <c r="B163" s="94"/>
      <c r="F163" s="98"/>
      <c r="G163" s="98"/>
      <c r="H163" s="98"/>
      <c r="I163" s="98"/>
      <c r="J163" s="98"/>
      <c r="P163" s="84"/>
      <c r="Q163" s="99"/>
    </row>
    <row r="164" spans="2:17" ht="14.4">
      <c r="B164" s="94"/>
      <c r="F164" s="98"/>
      <c r="G164" s="98"/>
      <c r="H164" s="98"/>
      <c r="I164" s="98"/>
      <c r="J164" s="98"/>
      <c r="P164" s="84"/>
      <c r="Q164" s="99"/>
    </row>
    <row r="165" spans="2:17" ht="14.4">
      <c r="B165" s="94"/>
      <c r="F165" s="98"/>
      <c r="G165" s="98"/>
      <c r="H165" s="98"/>
      <c r="I165" s="98"/>
      <c r="J165" s="98"/>
      <c r="P165" s="84"/>
      <c r="Q165" s="99"/>
    </row>
    <row r="166" spans="2:17" ht="14.4">
      <c r="B166" s="94"/>
      <c r="F166" s="98"/>
      <c r="G166" s="98"/>
      <c r="H166" s="98"/>
      <c r="I166" s="98"/>
      <c r="J166" s="98"/>
      <c r="P166" s="84"/>
      <c r="Q166" s="99"/>
    </row>
    <row r="167" spans="2:17" ht="14.4">
      <c r="B167" s="94"/>
      <c r="F167" s="98"/>
      <c r="G167" s="98"/>
      <c r="H167" s="98"/>
      <c r="I167" s="98"/>
      <c r="J167" s="98"/>
      <c r="P167" s="84"/>
      <c r="Q167" s="99"/>
    </row>
    <row r="168" spans="2:17" ht="14.4">
      <c r="B168" s="94"/>
      <c r="F168" s="98"/>
      <c r="G168" s="98"/>
      <c r="H168" s="98"/>
      <c r="I168" s="98"/>
      <c r="J168" s="98"/>
      <c r="P168" s="84"/>
      <c r="Q168" s="99"/>
    </row>
    <row r="169" spans="2:17" ht="14.4">
      <c r="B169" s="94"/>
      <c r="F169" s="98"/>
      <c r="G169" s="98"/>
      <c r="H169" s="98"/>
      <c r="I169" s="98"/>
      <c r="J169" s="98"/>
      <c r="P169" s="84"/>
      <c r="Q169" s="99"/>
    </row>
    <row r="170" spans="2:17" ht="14.4">
      <c r="B170" s="94"/>
      <c r="F170" s="98"/>
      <c r="G170" s="98"/>
      <c r="H170" s="98"/>
      <c r="I170" s="98"/>
      <c r="J170" s="98"/>
      <c r="P170" s="84"/>
      <c r="Q170" s="99"/>
    </row>
    <row r="171" spans="2:17" ht="14.4">
      <c r="B171" s="94"/>
      <c r="F171" s="98"/>
      <c r="G171" s="98"/>
      <c r="H171" s="98"/>
      <c r="I171" s="98"/>
      <c r="J171" s="98"/>
      <c r="P171" s="84"/>
      <c r="Q171" s="99"/>
    </row>
    <row r="172" spans="2:17" ht="14.4">
      <c r="B172" s="94"/>
      <c r="F172" s="98"/>
      <c r="G172" s="98"/>
      <c r="H172" s="98"/>
      <c r="I172" s="98"/>
      <c r="J172" s="98"/>
      <c r="P172" s="84"/>
      <c r="Q172" s="99"/>
    </row>
    <row r="173" spans="2:17" ht="14.4">
      <c r="B173" s="94"/>
      <c r="F173" s="98"/>
      <c r="G173" s="98"/>
      <c r="H173" s="98"/>
      <c r="I173" s="98"/>
      <c r="J173" s="98"/>
      <c r="P173" s="84"/>
      <c r="Q173" s="99"/>
    </row>
    <row r="174" spans="2:17" ht="14.4">
      <c r="B174" s="94"/>
      <c r="F174" s="98"/>
      <c r="G174" s="98"/>
      <c r="H174" s="98"/>
      <c r="I174" s="98"/>
      <c r="J174" s="98"/>
      <c r="P174" s="84"/>
      <c r="Q174" s="99"/>
    </row>
    <row r="175" spans="2:17" ht="14.4">
      <c r="B175" s="94"/>
      <c r="F175" s="98"/>
      <c r="G175" s="98"/>
      <c r="H175" s="98"/>
      <c r="I175" s="98"/>
      <c r="J175" s="98"/>
      <c r="P175" s="84"/>
      <c r="Q175" s="99"/>
    </row>
    <row r="176" spans="2:17" ht="14.4">
      <c r="B176" s="94"/>
      <c r="F176" s="98"/>
      <c r="G176" s="98"/>
      <c r="H176" s="98"/>
      <c r="I176" s="98"/>
      <c r="J176" s="98"/>
      <c r="P176" s="84"/>
      <c r="Q176" s="99"/>
    </row>
    <row r="177" spans="2:17" ht="14.4">
      <c r="B177" s="94"/>
      <c r="F177" s="98"/>
      <c r="G177" s="98"/>
      <c r="H177" s="98"/>
      <c r="I177" s="98"/>
      <c r="J177" s="98"/>
      <c r="P177" s="84"/>
      <c r="Q177" s="99"/>
    </row>
    <row r="178" spans="2:17" ht="14.4">
      <c r="B178" s="94"/>
      <c r="F178" s="98"/>
      <c r="G178" s="98"/>
      <c r="H178" s="98"/>
      <c r="I178" s="98"/>
      <c r="J178" s="98"/>
      <c r="P178" s="84"/>
      <c r="Q178" s="99"/>
    </row>
    <row r="179" spans="2:17" ht="14.4">
      <c r="B179" s="94"/>
      <c r="F179" s="98"/>
      <c r="G179" s="98"/>
      <c r="H179" s="98"/>
      <c r="I179" s="98"/>
      <c r="J179" s="98"/>
      <c r="P179" s="84"/>
      <c r="Q179" s="99"/>
    </row>
    <row r="180" spans="2:17" ht="14.4">
      <c r="B180" s="94"/>
      <c r="F180" s="98"/>
      <c r="G180" s="98"/>
      <c r="H180" s="98"/>
      <c r="I180" s="98"/>
      <c r="J180" s="98"/>
      <c r="P180" s="84"/>
      <c r="Q180" s="99"/>
    </row>
    <row r="181" spans="2:17" ht="14.4">
      <c r="B181" s="94"/>
      <c r="F181" s="98"/>
      <c r="G181" s="98"/>
      <c r="H181" s="98"/>
      <c r="I181" s="98"/>
      <c r="J181" s="98"/>
      <c r="P181" s="84"/>
      <c r="Q181" s="99"/>
    </row>
    <row r="182" spans="2:17" ht="14.4">
      <c r="B182" s="94"/>
      <c r="F182" s="98"/>
      <c r="G182" s="98"/>
      <c r="H182" s="98"/>
      <c r="I182" s="98"/>
      <c r="J182" s="98"/>
      <c r="P182" s="84"/>
      <c r="Q182" s="99"/>
    </row>
    <row r="183" spans="2:17" ht="14.4">
      <c r="B183" s="94"/>
      <c r="F183" s="98"/>
      <c r="G183" s="98"/>
      <c r="H183" s="98"/>
      <c r="I183" s="98"/>
      <c r="J183" s="98"/>
      <c r="P183" s="84"/>
      <c r="Q183" s="99"/>
    </row>
    <row r="184" spans="2:17" ht="14.4">
      <c r="B184" s="94"/>
      <c r="F184" s="98"/>
      <c r="G184" s="98"/>
      <c r="H184" s="98"/>
      <c r="I184" s="98"/>
      <c r="J184" s="98"/>
      <c r="P184" s="84"/>
      <c r="Q184" s="99"/>
    </row>
    <row r="185" spans="2:17" ht="14.4">
      <c r="B185" s="94"/>
      <c r="F185" s="98"/>
      <c r="G185" s="98"/>
      <c r="H185" s="98"/>
      <c r="I185" s="98"/>
      <c r="J185" s="98"/>
      <c r="P185" s="84"/>
      <c r="Q185" s="99"/>
    </row>
    <row r="186" spans="2:17" ht="14.4">
      <c r="B186" s="94"/>
      <c r="F186" s="98"/>
      <c r="G186" s="98"/>
      <c r="H186" s="98"/>
      <c r="I186" s="98"/>
      <c r="J186" s="98"/>
      <c r="P186" s="84"/>
      <c r="Q186" s="99"/>
    </row>
    <row r="187" spans="2:17" ht="14.4">
      <c r="B187" s="94"/>
      <c r="F187" s="98"/>
      <c r="G187" s="98"/>
      <c r="H187" s="98"/>
      <c r="I187" s="98"/>
      <c r="J187" s="98"/>
      <c r="P187" s="84"/>
      <c r="Q187" s="99"/>
    </row>
    <row r="188" spans="2:17" ht="14.4">
      <c r="B188" s="94"/>
      <c r="F188" s="98"/>
      <c r="G188" s="98"/>
      <c r="H188" s="98"/>
      <c r="I188" s="98"/>
      <c r="J188" s="98"/>
      <c r="P188" s="84"/>
      <c r="Q188" s="99"/>
    </row>
    <row r="189" spans="2:17" ht="14.4">
      <c r="B189" s="94"/>
      <c r="F189" s="98"/>
      <c r="G189" s="98"/>
      <c r="H189" s="98"/>
      <c r="I189" s="98"/>
      <c r="J189" s="98"/>
      <c r="P189" s="84"/>
      <c r="Q189" s="99"/>
    </row>
    <row r="190" spans="2:17" ht="14.4">
      <c r="B190" s="94"/>
      <c r="F190" s="98"/>
      <c r="G190" s="98"/>
      <c r="H190" s="98"/>
      <c r="I190" s="98"/>
      <c r="J190" s="98"/>
      <c r="P190" s="84"/>
      <c r="Q190" s="99"/>
    </row>
    <row r="191" spans="2:17" ht="14.4">
      <c r="B191" s="94"/>
      <c r="F191" s="98"/>
      <c r="G191" s="98"/>
      <c r="H191" s="98"/>
      <c r="I191" s="98"/>
      <c r="J191" s="98"/>
      <c r="P191" s="84"/>
      <c r="Q191" s="99"/>
    </row>
    <row r="192" spans="2:17" ht="14.4">
      <c r="B192" s="94"/>
      <c r="F192" s="98"/>
      <c r="G192" s="98"/>
      <c r="H192" s="98"/>
      <c r="I192" s="98"/>
      <c r="J192" s="98"/>
      <c r="P192" s="84"/>
      <c r="Q192" s="99"/>
    </row>
    <row r="193" spans="2:17" ht="14.4">
      <c r="B193" s="94"/>
      <c r="F193" s="98"/>
      <c r="G193" s="98"/>
      <c r="H193" s="98"/>
      <c r="I193" s="98"/>
      <c r="J193" s="98"/>
      <c r="P193" s="84"/>
      <c r="Q193" s="99"/>
    </row>
    <row r="194" spans="2:17" ht="14.4">
      <c r="B194" s="94"/>
      <c r="F194" s="98"/>
      <c r="G194" s="98"/>
      <c r="H194" s="98"/>
      <c r="I194" s="98"/>
      <c r="J194" s="98"/>
      <c r="P194" s="84"/>
      <c r="Q194" s="99"/>
    </row>
    <row r="195" spans="2:17" ht="14.4">
      <c r="B195" s="94"/>
      <c r="F195" s="98"/>
      <c r="G195" s="98"/>
      <c r="H195" s="98"/>
      <c r="I195" s="98"/>
      <c r="J195" s="98"/>
      <c r="P195" s="84"/>
      <c r="Q195" s="99"/>
    </row>
    <row r="196" spans="2:17" ht="14.4">
      <c r="B196" s="94"/>
      <c r="F196" s="98"/>
      <c r="G196" s="98"/>
      <c r="H196" s="98"/>
      <c r="I196" s="98"/>
      <c r="J196" s="98"/>
      <c r="P196" s="84"/>
      <c r="Q196" s="99"/>
    </row>
    <row r="197" spans="2:17" ht="14.4">
      <c r="B197" s="94"/>
      <c r="F197" s="98"/>
      <c r="G197" s="98"/>
      <c r="H197" s="98"/>
      <c r="I197" s="98"/>
      <c r="J197" s="98"/>
      <c r="P197" s="84"/>
      <c r="Q197" s="99"/>
    </row>
    <row r="198" spans="2:17" ht="14.4">
      <c r="B198" s="94"/>
      <c r="F198" s="98"/>
      <c r="G198" s="98"/>
      <c r="H198" s="98"/>
      <c r="I198" s="98"/>
      <c r="J198" s="98"/>
      <c r="P198" s="84"/>
      <c r="Q198" s="99"/>
    </row>
    <row r="199" spans="2:17" ht="14.4">
      <c r="B199" s="94"/>
      <c r="F199" s="98"/>
      <c r="G199" s="98"/>
      <c r="H199" s="98"/>
      <c r="I199" s="98"/>
      <c r="J199" s="98"/>
      <c r="P199" s="84"/>
      <c r="Q199" s="99"/>
    </row>
    <row r="200" spans="2:17" ht="14.4">
      <c r="B200" s="94"/>
      <c r="F200" s="98"/>
      <c r="G200" s="98"/>
      <c r="H200" s="98"/>
      <c r="I200" s="98"/>
      <c r="J200" s="98"/>
      <c r="P200" s="84"/>
      <c r="Q200" s="99"/>
    </row>
    <row r="201" spans="2:17" ht="14.4">
      <c r="B201" s="94"/>
      <c r="F201" s="98"/>
      <c r="G201" s="98"/>
      <c r="H201" s="98"/>
      <c r="I201" s="98"/>
      <c r="J201" s="98"/>
      <c r="P201" s="84"/>
      <c r="Q201" s="99"/>
    </row>
    <row r="202" spans="2:17" ht="14.4">
      <c r="B202" s="94"/>
      <c r="F202" s="98"/>
      <c r="G202" s="98"/>
      <c r="H202" s="98"/>
      <c r="I202" s="98"/>
      <c r="J202" s="98"/>
      <c r="P202" s="84"/>
      <c r="Q202" s="99"/>
    </row>
    <row r="203" spans="2:17" ht="14.4">
      <c r="B203" s="94"/>
      <c r="F203" s="98"/>
      <c r="G203" s="98"/>
      <c r="H203" s="98"/>
      <c r="I203" s="98"/>
      <c r="J203" s="98"/>
      <c r="P203" s="84"/>
      <c r="Q203" s="99"/>
    </row>
    <row r="204" spans="2:17" ht="14.4">
      <c r="B204" s="94"/>
      <c r="F204" s="98"/>
      <c r="G204" s="98"/>
      <c r="H204" s="98"/>
      <c r="I204" s="98"/>
      <c r="J204" s="98"/>
      <c r="P204" s="84"/>
      <c r="Q204" s="99"/>
    </row>
    <row r="205" spans="2:17" ht="14.4">
      <c r="B205" s="94"/>
      <c r="F205" s="98"/>
      <c r="G205" s="98"/>
      <c r="H205" s="98"/>
      <c r="I205" s="98"/>
      <c r="J205" s="98"/>
      <c r="P205" s="84"/>
      <c r="Q205" s="99"/>
    </row>
    <row r="206" spans="2:17" ht="14.4">
      <c r="B206" s="94"/>
      <c r="F206" s="98"/>
      <c r="G206" s="98"/>
      <c r="H206" s="98"/>
      <c r="I206" s="98"/>
      <c r="J206" s="98"/>
      <c r="P206" s="84"/>
      <c r="Q206" s="99"/>
    </row>
    <row r="207" spans="2:17" ht="14.4">
      <c r="B207" s="94"/>
      <c r="F207" s="98"/>
      <c r="G207" s="98"/>
      <c r="H207" s="98"/>
      <c r="I207" s="98"/>
      <c r="J207" s="98"/>
      <c r="P207" s="84"/>
      <c r="Q207" s="99"/>
    </row>
    <row r="208" spans="2:17" ht="14.4">
      <c r="B208" s="94"/>
      <c r="F208" s="98"/>
      <c r="G208" s="98"/>
      <c r="H208" s="98"/>
      <c r="I208" s="98"/>
      <c r="J208" s="98"/>
      <c r="P208" s="84"/>
      <c r="Q208" s="99"/>
    </row>
    <row r="209" spans="2:17" ht="14.4">
      <c r="B209" s="94"/>
      <c r="F209" s="98"/>
      <c r="G209" s="98"/>
      <c r="H209" s="98"/>
      <c r="I209" s="98"/>
      <c r="J209" s="98"/>
      <c r="P209" s="84"/>
      <c r="Q209" s="99"/>
    </row>
    <row r="210" spans="2:17" ht="14.4">
      <c r="B210" s="94"/>
      <c r="F210" s="98"/>
      <c r="G210" s="98"/>
      <c r="H210" s="98"/>
      <c r="I210" s="98"/>
      <c r="J210" s="98"/>
      <c r="P210" s="84"/>
      <c r="Q210" s="99"/>
    </row>
    <row r="211" spans="2:17" ht="14.4">
      <c r="B211" s="94"/>
      <c r="F211" s="98"/>
      <c r="G211" s="98"/>
      <c r="H211" s="98"/>
      <c r="I211" s="98"/>
      <c r="J211" s="98"/>
      <c r="P211" s="84"/>
      <c r="Q211" s="99"/>
    </row>
    <row r="212" spans="2:17" ht="14.4">
      <c r="B212" s="94"/>
      <c r="F212" s="98"/>
      <c r="G212" s="98"/>
      <c r="H212" s="98"/>
      <c r="I212" s="98"/>
      <c r="J212" s="98"/>
      <c r="P212" s="84"/>
      <c r="Q212" s="99"/>
    </row>
    <row r="213" spans="2:17" ht="14.4">
      <c r="B213" s="94"/>
      <c r="F213" s="98"/>
      <c r="G213" s="98"/>
      <c r="H213" s="98"/>
      <c r="I213" s="98"/>
      <c r="J213" s="98"/>
      <c r="P213" s="84"/>
      <c r="Q213" s="99"/>
    </row>
    <row r="214" spans="2:17" ht="14.4">
      <c r="B214" s="94"/>
      <c r="F214" s="98"/>
      <c r="G214" s="98"/>
      <c r="H214" s="98"/>
      <c r="I214" s="98"/>
      <c r="J214" s="98"/>
      <c r="P214" s="84"/>
      <c r="Q214" s="99"/>
    </row>
    <row r="215" spans="2:17" ht="14.4">
      <c r="B215" s="94"/>
      <c r="F215" s="98"/>
      <c r="G215" s="98"/>
      <c r="H215" s="98"/>
      <c r="I215" s="98"/>
      <c r="J215" s="98"/>
      <c r="P215" s="84"/>
      <c r="Q215" s="99"/>
    </row>
    <row r="216" spans="2:17" ht="14.4">
      <c r="B216" s="94"/>
      <c r="F216" s="98"/>
      <c r="G216" s="98"/>
      <c r="H216" s="98"/>
      <c r="I216" s="98"/>
      <c r="J216" s="98"/>
      <c r="P216" s="84"/>
      <c r="Q216" s="99"/>
    </row>
    <row r="217" spans="2:17" ht="14.4">
      <c r="B217" s="94"/>
      <c r="F217" s="98"/>
      <c r="G217" s="98"/>
      <c r="H217" s="98"/>
      <c r="I217" s="98"/>
      <c r="J217" s="98"/>
      <c r="P217" s="84"/>
      <c r="Q217" s="99"/>
    </row>
    <row r="218" spans="2:17" ht="14.4">
      <c r="B218" s="94"/>
      <c r="F218" s="98"/>
      <c r="G218" s="98"/>
      <c r="H218" s="98"/>
      <c r="I218" s="98"/>
      <c r="J218" s="98"/>
      <c r="P218" s="84"/>
      <c r="Q218" s="99"/>
    </row>
    <row r="219" spans="2:17" ht="14.4">
      <c r="B219" s="94"/>
      <c r="F219" s="98"/>
      <c r="G219" s="98"/>
      <c r="H219" s="98"/>
      <c r="I219" s="98"/>
      <c r="J219" s="98"/>
      <c r="P219" s="84"/>
      <c r="Q219" s="99"/>
    </row>
    <row r="220" spans="2:17" ht="14.4">
      <c r="B220" s="94"/>
      <c r="F220" s="98"/>
      <c r="G220" s="98"/>
      <c r="H220" s="98"/>
      <c r="I220" s="98"/>
      <c r="J220" s="98"/>
      <c r="P220" s="84"/>
      <c r="Q220" s="99"/>
    </row>
    <row r="221" spans="2:17" ht="14.4">
      <c r="B221" s="94"/>
      <c r="F221" s="98"/>
      <c r="G221" s="98"/>
      <c r="H221" s="98"/>
      <c r="I221" s="98"/>
      <c r="J221" s="98"/>
      <c r="P221" s="84"/>
      <c r="Q221" s="99"/>
    </row>
    <row r="222" spans="2:17" ht="14.4">
      <c r="B222" s="94"/>
      <c r="F222" s="98"/>
      <c r="G222" s="98"/>
      <c r="H222" s="98"/>
      <c r="I222" s="98"/>
      <c r="J222" s="98"/>
      <c r="P222" s="84"/>
      <c r="Q222" s="99"/>
    </row>
    <row r="223" spans="2:17" ht="14.4">
      <c r="B223" s="94"/>
      <c r="F223" s="98"/>
      <c r="G223" s="98"/>
      <c r="H223" s="98"/>
      <c r="I223" s="98"/>
      <c r="J223" s="98"/>
      <c r="P223" s="84"/>
      <c r="Q223" s="99"/>
    </row>
    <row r="224" spans="2:17" ht="14.4">
      <c r="B224" s="94"/>
      <c r="F224" s="98"/>
      <c r="G224" s="98"/>
      <c r="H224" s="98"/>
      <c r="I224" s="98"/>
      <c r="J224" s="98"/>
      <c r="P224" s="84"/>
      <c r="Q224" s="99"/>
    </row>
    <row r="225" spans="2:17" ht="14.4">
      <c r="B225" s="94"/>
      <c r="F225" s="98"/>
      <c r="G225" s="98"/>
      <c r="H225" s="98"/>
      <c r="I225" s="98"/>
      <c r="J225" s="98"/>
      <c r="P225" s="84"/>
      <c r="Q225" s="99"/>
    </row>
    <row r="226" spans="2:17" ht="14.4">
      <c r="B226" s="94"/>
      <c r="F226" s="98"/>
      <c r="G226" s="98"/>
      <c r="H226" s="98"/>
      <c r="I226" s="98"/>
      <c r="J226" s="98"/>
      <c r="P226" s="84"/>
      <c r="Q226" s="99"/>
    </row>
    <row r="227" spans="2:17" ht="14.4">
      <c r="B227" s="94"/>
      <c r="F227" s="98"/>
      <c r="G227" s="98"/>
      <c r="H227" s="98"/>
      <c r="I227" s="98"/>
      <c r="J227" s="98"/>
      <c r="P227" s="84"/>
      <c r="Q227" s="99"/>
    </row>
    <row r="228" spans="2:17" ht="14.4">
      <c r="B228" s="94"/>
      <c r="F228" s="98"/>
      <c r="G228" s="98"/>
      <c r="H228" s="98"/>
      <c r="I228" s="98"/>
      <c r="J228" s="98"/>
      <c r="P228" s="84"/>
      <c r="Q228" s="99"/>
    </row>
    <row r="229" spans="2:17" ht="14.4">
      <c r="B229" s="94"/>
      <c r="F229" s="98"/>
      <c r="G229" s="98"/>
      <c r="H229" s="98"/>
      <c r="I229" s="98"/>
      <c r="J229" s="98"/>
      <c r="P229" s="84"/>
      <c r="Q229" s="99"/>
    </row>
    <row r="230" spans="2:17" ht="14.4">
      <c r="B230" s="94"/>
      <c r="F230" s="98"/>
      <c r="G230" s="98"/>
      <c r="H230" s="98"/>
      <c r="I230" s="98"/>
      <c r="J230" s="98"/>
      <c r="P230" s="84"/>
      <c r="Q230" s="99"/>
    </row>
    <row r="231" spans="2:17" ht="14.4">
      <c r="B231" s="94"/>
      <c r="F231" s="98"/>
      <c r="G231" s="98"/>
      <c r="H231" s="98"/>
      <c r="I231" s="98"/>
      <c r="J231" s="98"/>
      <c r="P231" s="84"/>
      <c r="Q231" s="99"/>
    </row>
    <row r="232" spans="2:17" ht="14.4">
      <c r="B232" s="94"/>
      <c r="F232" s="98"/>
      <c r="G232" s="98"/>
      <c r="H232" s="98"/>
      <c r="I232" s="98"/>
      <c r="J232" s="98"/>
      <c r="P232" s="84"/>
      <c r="Q232" s="99"/>
    </row>
    <row r="233" spans="2:17" ht="14.4">
      <c r="B233" s="94"/>
      <c r="F233" s="98"/>
      <c r="G233" s="98"/>
      <c r="H233" s="98"/>
      <c r="I233" s="98"/>
      <c r="J233" s="98"/>
      <c r="P233" s="84"/>
      <c r="Q233" s="99"/>
    </row>
    <row r="234" spans="2:17" ht="14.4">
      <c r="B234" s="94"/>
      <c r="F234" s="98"/>
      <c r="G234" s="98"/>
      <c r="H234" s="98"/>
      <c r="I234" s="98"/>
      <c r="J234" s="98"/>
      <c r="P234" s="84"/>
      <c r="Q234" s="99"/>
    </row>
    <row r="235" spans="2:17" ht="14.4">
      <c r="B235" s="94"/>
      <c r="F235" s="98"/>
      <c r="G235" s="98"/>
      <c r="H235" s="98"/>
      <c r="I235" s="98"/>
      <c r="J235" s="98"/>
      <c r="P235" s="84"/>
      <c r="Q235" s="99"/>
    </row>
    <row r="236" spans="2:17" ht="14.4">
      <c r="B236" s="94"/>
      <c r="F236" s="98"/>
      <c r="G236" s="98"/>
      <c r="H236" s="98"/>
      <c r="I236" s="98"/>
      <c r="J236" s="98"/>
      <c r="P236" s="84"/>
      <c r="Q236" s="99"/>
    </row>
    <row r="237" spans="2:17" ht="14.4">
      <c r="B237" s="94"/>
      <c r="F237" s="98"/>
      <c r="G237" s="98"/>
      <c r="H237" s="98"/>
      <c r="I237" s="98"/>
      <c r="J237" s="98"/>
      <c r="P237" s="84"/>
      <c r="Q237" s="99"/>
    </row>
    <row r="238" spans="2:17" ht="14.4">
      <c r="B238" s="94"/>
      <c r="F238" s="98"/>
      <c r="G238" s="98"/>
      <c r="H238" s="98"/>
      <c r="I238" s="98"/>
      <c r="J238" s="98"/>
      <c r="P238" s="84"/>
      <c r="Q238" s="99"/>
    </row>
    <row r="239" spans="2:17" ht="14.4">
      <c r="B239" s="94"/>
      <c r="F239" s="98"/>
      <c r="G239" s="98"/>
      <c r="H239" s="98"/>
      <c r="I239" s="98"/>
      <c r="J239" s="98"/>
      <c r="P239" s="84"/>
      <c r="Q239" s="99"/>
    </row>
    <row r="240" spans="2:17" ht="14.4">
      <c r="B240" s="94"/>
      <c r="F240" s="98"/>
      <c r="G240" s="98"/>
      <c r="H240" s="98"/>
      <c r="I240" s="98"/>
      <c r="J240" s="98"/>
      <c r="P240" s="84"/>
      <c r="Q240" s="99"/>
    </row>
    <row r="241" spans="2:17" ht="14.4">
      <c r="B241" s="94"/>
      <c r="F241" s="98"/>
      <c r="G241" s="98"/>
      <c r="H241" s="98"/>
      <c r="I241" s="98"/>
      <c r="J241" s="98"/>
      <c r="P241" s="84"/>
      <c r="Q241" s="99"/>
    </row>
    <row r="242" spans="2:17" ht="14.4">
      <c r="B242" s="94"/>
      <c r="F242" s="98"/>
      <c r="G242" s="98"/>
      <c r="H242" s="98"/>
      <c r="I242" s="98"/>
      <c r="J242" s="98"/>
      <c r="P242" s="84"/>
      <c r="Q242" s="99"/>
    </row>
    <row r="243" spans="2:17" ht="14.4">
      <c r="B243" s="94"/>
      <c r="F243" s="98"/>
      <c r="G243" s="98"/>
      <c r="H243" s="98"/>
      <c r="I243" s="98"/>
      <c r="J243" s="98"/>
      <c r="P243" s="84"/>
      <c r="Q243" s="99"/>
    </row>
    <row r="244" spans="2:17" ht="14.4">
      <c r="B244" s="94"/>
      <c r="F244" s="98"/>
      <c r="G244" s="98"/>
      <c r="H244" s="98"/>
      <c r="I244" s="98"/>
      <c r="J244" s="98"/>
      <c r="P244" s="84"/>
      <c r="Q244" s="99"/>
    </row>
    <row r="245" spans="2:17" ht="14.4">
      <c r="B245" s="94"/>
      <c r="F245" s="98"/>
      <c r="G245" s="98"/>
      <c r="H245" s="98"/>
      <c r="I245" s="98"/>
      <c r="J245" s="98"/>
      <c r="P245" s="84"/>
      <c r="Q245" s="99"/>
    </row>
    <row r="246" spans="2:17" ht="14.4">
      <c r="B246" s="94"/>
      <c r="F246" s="98"/>
      <c r="G246" s="98"/>
      <c r="H246" s="98"/>
      <c r="I246" s="98"/>
      <c r="J246" s="98"/>
      <c r="P246" s="84"/>
      <c r="Q246" s="99"/>
    </row>
    <row r="247" spans="2:17" ht="14.4">
      <c r="B247" s="94"/>
      <c r="F247" s="98"/>
      <c r="G247" s="98"/>
      <c r="H247" s="98"/>
      <c r="I247" s="98"/>
      <c r="J247" s="98"/>
      <c r="P247" s="84"/>
      <c r="Q247" s="99"/>
    </row>
    <row r="248" spans="2:17" ht="14.4">
      <c r="B248" s="94"/>
      <c r="F248" s="98"/>
      <c r="G248" s="98"/>
      <c r="H248" s="98"/>
      <c r="I248" s="98"/>
      <c r="J248" s="98"/>
      <c r="P248" s="84"/>
      <c r="Q248" s="99"/>
    </row>
    <row r="249" spans="2:17" ht="14.4">
      <c r="B249" s="94"/>
      <c r="F249" s="98"/>
      <c r="G249" s="98"/>
      <c r="H249" s="98"/>
      <c r="I249" s="98"/>
      <c r="J249" s="98"/>
      <c r="P249" s="84"/>
      <c r="Q249" s="99"/>
    </row>
    <row r="250" spans="2:17" ht="14.4">
      <c r="B250" s="94"/>
      <c r="F250" s="98"/>
      <c r="G250" s="98"/>
      <c r="H250" s="98"/>
      <c r="I250" s="98"/>
      <c r="J250" s="98"/>
      <c r="P250" s="84"/>
      <c r="Q250" s="99"/>
    </row>
    <row r="251" spans="2:17" ht="14.4">
      <c r="B251" s="94"/>
      <c r="F251" s="98"/>
      <c r="G251" s="98"/>
      <c r="H251" s="98"/>
      <c r="I251" s="98"/>
      <c r="J251" s="98"/>
      <c r="P251" s="84"/>
      <c r="Q251" s="99"/>
    </row>
    <row r="252" spans="2:17" ht="14.4">
      <c r="B252" s="94"/>
      <c r="F252" s="98"/>
      <c r="G252" s="98"/>
      <c r="H252" s="98"/>
      <c r="I252" s="98"/>
      <c r="J252" s="98"/>
      <c r="P252" s="84"/>
      <c r="Q252" s="99"/>
    </row>
    <row r="253" spans="2:17" ht="14.4">
      <c r="B253" s="94"/>
      <c r="F253" s="98"/>
      <c r="G253" s="98"/>
      <c r="H253" s="98"/>
      <c r="I253" s="98"/>
      <c r="J253" s="98"/>
      <c r="P253" s="84"/>
      <c r="Q253" s="99"/>
    </row>
    <row r="254" spans="2:17" ht="14.4">
      <c r="B254" s="94"/>
      <c r="F254" s="98"/>
      <c r="G254" s="98"/>
      <c r="H254" s="98"/>
      <c r="I254" s="98"/>
      <c r="J254" s="98"/>
      <c r="P254" s="84"/>
      <c r="Q254" s="99"/>
    </row>
    <row r="255" spans="2:17" ht="14.4">
      <c r="B255" s="94"/>
      <c r="F255" s="98"/>
      <c r="G255" s="98"/>
      <c r="H255" s="98"/>
      <c r="I255" s="98"/>
      <c r="J255" s="98"/>
      <c r="P255" s="84"/>
      <c r="Q255" s="99"/>
    </row>
    <row r="256" spans="2:17" ht="14.4">
      <c r="B256" s="94"/>
      <c r="F256" s="98"/>
      <c r="G256" s="98"/>
      <c r="H256" s="98"/>
      <c r="I256" s="98"/>
      <c r="J256" s="98"/>
      <c r="P256" s="84"/>
      <c r="Q256" s="99"/>
    </row>
    <row r="257" spans="2:17" ht="14.4">
      <c r="B257" s="94"/>
      <c r="F257" s="98"/>
      <c r="G257" s="98"/>
      <c r="H257" s="98"/>
      <c r="I257" s="98"/>
      <c r="J257" s="98"/>
      <c r="P257" s="84"/>
      <c r="Q257" s="99"/>
    </row>
    <row r="258" spans="2:17" ht="14.4">
      <c r="B258" s="94"/>
      <c r="F258" s="98"/>
      <c r="G258" s="98"/>
      <c r="H258" s="98"/>
      <c r="I258" s="98"/>
      <c r="J258" s="98"/>
      <c r="P258" s="84"/>
      <c r="Q258" s="99"/>
    </row>
    <row r="259" spans="2:17" ht="14.4">
      <c r="B259" s="94"/>
      <c r="F259" s="98"/>
      <c r="G259" s="98"/>
      <c r="H259" s="98"/>
      <c r="I259" s="98"/>
      <c r="J259" s="98"/>
      <c r="P259" s="84"/>
      <c r="Q259" s="99"/>
    </row>
    <row r="260" spans="2:17" ht="14.4">
      <c r="B260" s="94"/>
      <c r="F260" s="98"/>
      <c r="G260" s="98"/>
      <c r="H260" s="98"/>
      <c r="I260" s="98"/>
      <c r="J260" s="98"/>
      <c r="P260" s="84"/>
      <c r="Q260" s="99"/>
    </row>
    <row r="261" spans="2:17" ht="14.4">
      <c r="B261" s="94"/>
      <c r="F261" s="98"/>
      <c r="G261" s="98"/>
      <c r="H261" s="98"/>
      <c r="I261" s="98"/>
      <c r="J261" s="98"/>
      <c r="P261" s="84"/>
      <c r="Q261" s="99"/>
    </row>
    <row r="262" spans="2:17" ht="14.4">
      <c r="B262" s="94"/>
      <c r="F262" s="98"/>
      <c r="G262" s="98"/>
      <c r="H262" s="98"/>
      <c r="I262" s="98"/>
      <c r="J262" s="98"/>
      <c r="P262" s="84"/>
      <c r="Q262" s="99"/>
    </row>
    <row r="263" spans="2:17" ht="14.4">
      <c r="B263" s="94"/>
      <c r="F263" s="98"/>
      <c r="G263" s="98"/>
      <c r="H263" s="98"/>
      <c r="I263" s="98"/>
      <c r="J263" s="98"/>
      <c r="P263" s="84"/>
      <c r="Q263" s="99"/>
    </row>
    <row r="264" spans="2:17" ht="14.4">
      <c r="B264" s="94"/>
      <c r="F264" s="98"/>
      <c r="G264" s="98"/>
      <c r="H264" s="98"/>
      <c r="I264" s="98"/>
      <c r="J264" s="98"/>
      <c r="P264" s="84"/>
      <c r="Q264" s="99"/>
    </row>
    <row r="265" spans="2:17" ht="14.4">
      <c r="B265" s="94"/>
      <c r="F265" s="98"/>
      <c r="G265" s="98"/>
      <c r="H265" s="98"/>
      <c r="I265" s="98"/>
      <c r="J265" s="98"/>
      <c r="P265" s="84"/>
      <c r="Q265" s="99"/>
    </row>
    <row r="266" spans="2:17" ht="14.4">
      <c r="B266" s="94"/>
      <c r="F266" s="98"/>
      <c r="G266" s="98"/>
      <c r="H266" s="98"/>
      <c r="I266" s="98"/>
      <c r="J266" s="98"/>
      <c r="P266" s="84"/>
      <c r="Q266" s="99"/>
    </row>
    <row r="267" spans="2:17" ht="14.4">
      <c r="B267" s="94"/>
      <c r="F267" s="98"/>
      <c r="G267" s="98"/>
      <c r="H267" s="98"/>
      <c r="I267" s="98"/>
      <c r="J267" s="98"/>
      <c r="P267" s="84"/>
      <c r="Q267" s="99"/>
    </row>
    <row r="268" spans="2:17" ht="14.4">
      <c r="B268" s="94"/>
      <c r="F268" s="98"/>
      <c r="G268" s="98"/>
      <c r="H268" s="98"/>
      <c r="I268" s="98"/>
      <c r="J268" s="98"/>
      <c r="P268" s="84"/>
      <c r="Q268" s="99"/>
    </row>
    <row r="269" spans="2:17" ht="14.4">
      <c r="B269" s="94"/>
      <c r="F269" s="98"/>
      <c r="G269" s="98"/>
      <c r="H269" s="98"/>
      <c r="I269" s="98"/>
      <c r="J269" s="98"/>
      <c r="P269" s="84"/>
      <c r="Q269" s="99"/>
    </row>
    <row r="270" spans="2:17" ht="14.4">
      <c r="B270" s="94"/>
      <c r="F270" s="98"/>
      <c r="G270" s="98"/>
      <c r="H270" s="98"/>
      <c r="I270" s="98"/>
      <c r="J270" s="98"/>
      <c r="P270" s="84"/>
      <c r="Q270" s="99"/>
    </row>
    <row r="271" spans="2:17" ht="14.4">
      <c r="B271" s="94"/>
      <c r="F271" s="98"/>
      <c r="G271" s="98"/>
      <c r="H271" s="98"/>
      <c r="I271" s="98"/>
      <c r="J271" s="98"/>
      <c r="P271" s="84"/>
      <c r="Q271" s="99"/>
    </row>
    <row r="272" spans="2:17" ht="14.4">
      <c r="B272" s="94"/>
      <c r="F272" s="98"/>
      <c r="G272" s="98"/>
      <c r="H272" s="98"/>
      <c r="I272" s="98"/>
      <c r="J272" s="98"/>
      <c r="P272" s="84"/>
      <c r="Q272" s="99"/>
    </row>
    <row r="273" spans="2:17" ht="14.4">
      <c r="B273" s="94"/>
      <c r="F273" s="98"/>
      <c r="G273" s="98"/>
      <c r="H273" s="98"/>
      <c r="I273" s="98"/>
      <c r="J273" s="98"/>
      <c r="P273" s="84"/>
      <c r="Q273" s="99"/>
    </row>
    <row r="274" spans="2:17" ht="14.4">
      <c r="B274" s="94"/>
      <c r="F274" s="98"/>
      <c r="G274" s="98"/>
      <c r="H274" s="98"/>
      <c r="I274" s="98"/>
      <c r="J274" s="98"/>
      <c r="P274" s="84"/>
      <c r="Q274" s="99"/>
    </row>
    <row r="275" spans="2:17" ht="14.4">
      <c r="B275" s="94"/>
      <c r="F275" s="98"/>
      <c r="G275" s="98"/>
      <c r="H275" s="98"/>
      <c r="I275" s="98"/>
      <c r="J275" s="98"/>
      <c r="P275" s="84"/>
      <c r="Q275" s="99"/>
    </row>
    <row r="276" spans="2:17" ht="14.4">
      <c r="B276" s="94"/>
      <c r="F276" s="98"/>
      <c r="G276" s="98"/>
      <c r="H276" s="98"/>
      <c r="I276" s="98"/>
      <c r="J276" s="98"/>
      <c r="P276" s="84"/>
      <c r="Q276" s="99"/>
    </row>
    <row r="277" spans="2:17" ht="14.4">
      <c r="B277" s="94"/>
      <c r="F277" s="98"/>
      <c r="G277" s="98"/>
      <c r="H277" s="98"/>
      <c r="I277" s="98"/>
      <c r="J277" s="98"/>
      <c r="P277" s="84"/>
      <c r="Q277" s="99"/>
    </row>
    <row r="278" spans="2:17" ht="14.4">
      <c r="B278" s="94"/>
      <c r="F278" s="98"/>
      <c r="G278" s="98"/>
      <c r="H278" s="98"/>
      <c r="I278" s="98"/>
      <c r="J278" s="98"/>
      <c r="P278" s="84"/>
      <c r="Q278" s="99"/>
    </row>
    <row r="279" spans="2:17" ht="14.4">
      <c r="B279" s="94"/>
      <c r="F279" s="98"/>
      <c r="G279" s="98"/>
      <c r="H279" s="98"/>
      <c r="I279" s="98"/>
      <c r="J279" s="98"/>
      <c r="P279" s="84"/>
      <c r="Q279" s="99"/>
    </row>
    <row r="280" spans="2:17" ht="14.4">
      <c r="B280" s="94"/>
      <c r="F280" s="98"/>
      <c r="G280" s="98"/>
      <c r="H280" s="98"/>
      <c r="I280" s="98"/>
      <c r="J280" s="98"/>
      <c r="P280" s="84"/>
      <c r="Q280" s="99"/>
    </row>
    <row r="281" spans="2:17" ht="14.4">
      <c r="B281" s="94"/>
      <c r="F281" s="98"/>
      <c r="G281" s="98"/>
      <c r="H281" s="98"/>
      <c r="I281" s="98"/>
      <c r="J281" s="98"/>
      <c r="P281" s="84"/>
      <c r="Q281" s="99"/>
    </row>
    <row r="282" spans="2:17" ht="14.4">
      <c r="B282" s="94"/>
      <c r="F282" s="98"/>
      <c r="G282" s="98"/>
      <c r="H282" s="98"/>
      <c r="I282" s="98"/>
      <c r="J282" s="98"/>
      <c r="P282" s="84"/>
      <c r="Q282" s="99"/>
    </row>
    <row r="283" spans="2:17" ht="14.4">
      <c r="B283" s="94"/>
      <c r="F283" s="98"/>
      <c r="G283" s="98"/>
      <c r="H283" s="98"/>
      <c r="I283" s="98"/>
      <c r="J283" s="98"/>
      <c r="P283" s="84"/>
      <c r="Q283" s="99"/>
    </row>
    <row r="284" spans="2:17" ht="14.4">
      <c r="B284" s="94"/>
      <c r="F284" s="98"/>
      <c r="G284" s="98"/>
      <c r="H284" s="98"/>
      <c r="I284" s="98"/>
      <c r="J284" s="98"/>
      <c r="P284" s="84"/>
      <c r="Q284" s="99"/>
    </row>
    <row r="285" spans="2:17" ht="14.4">
      <c r="B285" s="94"/>
      <c r="F285" s="98"/>
      <c r="G285" s="98"/>
      <c r="H285" s="98"/>
      <c r="I285" s="98"/>
      <c r="J285" s="98"/>
      <c r="P285" s="84"/>
      <c r="Q285" s="99"/>
    </row>
    <row r="286" spans="2:17" ht="14.4">
      <c r="B286" s="94"/>
      <c r="F286" s="98"/>
      <c r="G286" s="98"/>
      <c r="H286" s="98"/>
      <c r="I286" s="98"/>
      <c r="J286" s="98"/>
      <c r="P286" s="84"/>
      <c r="Q286" s="99"/>
    </row>
    <row r="287" spans="2:17" ht="14.4">
      <c r="B287" s="94"/>
      <c r="F287" s="98"/>
      <c r="G287" s="98"/>
      <c r="H287" s="98"/>
      <c r="I287" s="98"/>
      <c r="J287" s="98"/>
      <c r="P287" s="84"/>
      <c r="Q287" s="99"/>
    </row>
    <row r="288" spans="2:17" ht="14.4">
      <c r="B288" s="94"/>
      <c r="F288" s="98"/>
      <c r="G288" s="98"/>
      <c r="H288" s="98"/>
      <c r="I288" s="98"/>
      <c r="J288" s="98"/>
      <c r="P288" s="84"/>
      <c r="Q288" s="99"/>
    </row>
    <row r="289" spans="2:17" ht="14.4">
      <c r="B289" s="94"/>
      <c r="F289" s="98"/>
      <c r="G289" s="98"/>
      <c r="H289" s="98"/>
      <c r="I289" s="98"/>
      <c r="J289" s="98"/>
      <c r="P289" s="84"/>
      <c r="Q289" s="99"/>
    </row>
    <row r="290" spans="2:17" ht="14.4">
      <c r="B290" s="94"/>
      <c r="F290" s="98"/>
      <c r="G290" s="98"/>
      <c r="H290" s="98"/>
      <c r="I290" s="98"/>
      <c r="J290" s="98"/>
      <c r="P290" s="84"/>
      <c r="Q290" s="99"/>
    </row>
    <row r="291" spans="2:17" ht="14.4">
      <c r="B291" s="94"/>
      <c r="F291" s="98"/>
      <c r="G291" s="98"/>
      <c r="H291" s="98"/>
      <c r="I291" s="98"/>
      <c r="J291" s="98"/>
      <c r="P291" s="84"/>
      <c r="Q291" s="99"/>
    </row>
    <row r="292" spans="2:17" ht="14.4">
      <c r="B292" s="94"/>
      <c r="F292" s="98"/>
      <c r="G292" s="98"/>
      <c r="H292" s="98"/>
      <c r="I292" s="98"/>
      <c r="J292" s="98"/>
      <c r="P292" s="84"/>
      <c r="Q292" s="99"/>
    </row>
    <row r="293" spans="2:17" ht="14.4">
      <c r="B293" s="94"/>
      <c r="F293" s="98"/>
      <c r="G293" s="98"/>
      <c r="H293" s="98"/>
      <c r="I293" s="98"/>
      <c r="J293" s="98"/>
      <c r="P293" s="84"/>
      <c r="Q293" s="99"/>
    </row>
    <row r="294" spans="2:17" ht="14.4">
      <c r="B294" s="94"/>
      <c r="F294" s="98"/>
      <c r="G294" s="98"/>
      <c r="H294" s="98"/>
      <c r="I294" s="98"/>
      <c r="J294" s="98"/>
      <c r="P294" s="84"/>
      <c r="Q294" s="99"/>
    </row>
    <row r="295" spans="2:17" ht="14.4">
      <c r="B295" s="94"/>
      <c r="F295" s="98"/>
      <c r="G295" s="98"/>
      <c r="H295" s="98"/>
      <c r="I295" s="98"/>
      <c r="J295" s="98"/>
      <c r="P295" s="84"/>
      <c r="Q295" s="99"/>
    </row>
    <row r="296" spans="2:17" ht="14.4">
      <c r="B296" s="94"/>
      <c r="F296" s="98"/>
      <c r="G296" s="98"/>
      <c r="H296" s="98"/>
      <c r="I296" s="98"/>
      <c r="J296" s="98"/>
      <c r="P296" s="84"/>
      <c r="Q296" s="99"/>
    </row>
    <row r="297" spans="2:17" ht="14.4">
      <c r="B297" s="94"/>
      <c r="F297" s="98"/>
      <c r="G297" s="98"/>
      <c r="H297" s="98"/>
      <c r="I297" s="98"/>
      <c r="J297" s="98"/>
      <c r="P297" s="84"/>
      <c r="Q297" s="99"/>
    </row>
    <row r="298" spans="2:17" ht="14.4">
      <c r="B298" s="94"/>
      <c r="F298" s="98"/>
      <c r="G298" s="98"/>
      <c r="H298" s="98"/>
      <c r="I298" s="98"/>
      <c r="J298" s="98"/>
      <c r="P298" s="84"/>
      <c r="Q298" s="99"/>
    </row>
    <row r="299" spans="2:17" ht="14.4">
      <c r="B299" s="94"/>
      <c r="F299" s="98"/>
      <c r="G299" s="98"/>
      <c r="H299" s="98"/>
      <c r="I299" s="98"/>
      <c r="J299" s="98"/>
      <c r="P299" s="84"/>
      <c r="Q299" s="99"/>
    </row>
    <row r="300" spans="2:17" ht="14.4">
      <c r="B300" s="94"/>
      <c r="F300" s="98"/>
      <c r="G300" s="98"/>
      <c r="H300" s="98"/>
      <c r="I300" s="98"/>
      <c r="J300" s="98"/>
      <c r="P300" s="84"/>
      <c r="Q300" s="99"/>
    </row>
    <row r="301" spans="2:17" ht="14.4">
      <c r="B301" s="94"/>
      <c r="F301" s="98"/>
      <c r="G301" s="98"/>
      <c r="H301" s="98"/>
      <c r="I301" s="98"/>
      <c r="J301" s="98"/>
      <c r="P301" s="84"/>
      <c r="Q301" s="99"/>
    </row>
    <row r="302" spans="2:17" ht="14.4">
      <c r="B302" s="94"/>
      <c r="F302" s="98"/>
      <c r="G302" s="98"/>
      <c r="H302" s="98"/>
      <c r="I302" s="98"/>
      <c r="J302" s="98"/>
      <c r="P302" s="84"/>
      <c r="Q302" s="99"/>
    </row>
    <row r="303" spans="2:17" ht="14.4">
      <c r="B303" s="94"/>
      <c r="F303" s="98"/>
      <c r="G303" s="98"/>
      <c r="H303" s="98"/>
      <c r="I303" s="98"/>
      <c r="J303" s="98"/>
      <c r="P303" s="84"/>
      <c r="Q303" s="99"/>
    </row>
    <row r="304" spans="2:17" ht="14.4">
      <c r="B304" s="94"/>
      <c r="F304" s="98"/>
      <c r="G304" s="98"/>
      <c r="H304" s="98"/>
      <c r="I304" s="98"/>
      <c r="J304" s="98"/>
      <c r="P304" s="84"/>
      <c r="Q304" s="99"/>
    </row>
    <row r="305" spans="2:17" ht="14.4">
      <c r="B305" s="94"/>
      <c r="F305" s="98"/>
      <c r="G305" s="98"/>
      <c r="H305" s="98"/>
      <c r="I305" s="98"/>
      <c r="J305" s="98"/>
      <c r="P305" s="84"/>
      <c r="Q305" s="99"/>
    </row>
    <row r="306" spans="2:17" ht="14.4">
      <c r="B306" s="94"/>
      <c r="F306" s="98"/>
      <c r="G306" s="98"/>
      <c r="H306" s="98"/>
      <c r="I306" s="98"/>
      <c r="J306" s="98"/>
      <c r="P306" s="84"/>
      <c r="Q306" s="99"/>
    </row>
    <row r="307" spans="2:17" ht="14.4">
      <c r="B307" s="94"/>
      <c r="F307" s="98"/>
      <c r="G307" s="98"/>
      <c r="H307" s="98"/>
      <c r="I307" s="98"/>
      <c r="J307" s="98"/>
      <c r="P307" s="84"/>
      <c r="Q307" s="99"/>
    </row>
    <row r="308" spans="2:17" ht="14.4">
      <c r="B308" s="94"/>
      <c r="F308" s="98"/>
      <c r="G308" s="98"/>
      <c r="H308" s="98"/>
      <c r="I308" s="98"/>
      <c r="J308" s="98"/>
      <c r="P308" s="84"/>
      <c r="Q308" s="99"/>
    </row>
    <row r="309" spans="2:17" ht="14.4">
      <c r="B309" s="94"/>
      <c r="F309" s="98"/>
      <c r="G309" s="98"/>
      <c r="H309" s="98"/>
      <c r="I309" s="98"/>
      <c r="J309" s="98"/>
      <c r="P309" s="84"/>
      <c r="Q309" s="99"/>
    </row>
    <row r="310" spans="2:17" ht="14.4">
      <c r="B310" s="94"/>
      <c r="F310" s="98"/>
      <c r="G310" s="98"/>
      <c r="H310" s="98"/>
      <c r="I310" s="98"/>
      <c r="J310" s="98"/>
      <c r="P310" s="84"/>
      <c r="Q310" s="99"/>
    </row>
    <row r="311" spans="2:17" ht="14.4">
      <c r="B311" s="94"/>
      <c r="F311" s="98"/>
      <c r="G311" s="98"/>
      <c r="H311" s="98"/>
      <c r="I311" s="98"/>
      <c r="J311" s="98"/>
      <c r="P311" s="84"/>
      <c r="Q311" s="99"/>
    </row>
    <row r="312" spans="2:17" ht="14.4">
      <c r="B312" s="94"/>
      <c r="F312" s="98"/>
      <c r="G312" s="98"/>
      <c r="H312" s="98"/>
      <c r="I312" s="98"/>
      <c r="J312" s="98"/>
      <c r="P312" s="84"/>
      <c r="Q312" s="99"/>
    </row>
    <row r="313" spans="2:17" ht="14.4">
      <c r="B313" s="94"/>
      <c r="F313" s="98"/>
      <c r="G313" s="98"/>
      <c r="H313" s="98"/>
      <c r="I313" s="98"/>
      <c r="J313" s="98"/>
      <c r="P313" s="84"/>
      <c r="Q313" s="99"/>
    </row>
    <row r="314" spans="2:17" ht="14.4">
      <c r="B314" s="94"/>
      <c r="F314" s="98"/>
      <c r="G314" s="98"/>
      <c r="H314" s="98"/>
      <c r="I314" s="98"/>
      <c r="J314" s="98"/>
      <c r="P314" s="84"/>
      <c r="Q314" s="99"/>
    </row>
    <row r="315" spans="2:17" ht="14.4">
      <c r="B315" s="94"/>
      <c r="F315" s="98"/>
      <c r="G315" s="98"/>
      <c r="H315" s="98"/>
      <c r="I315" s="98"/>
      <c r="J315" s="98"/>
      <c r="P315" s="84"/>
      <c r="Q315" s="99"/>
    </row>
    <row r="316" spans="2:17" ht="14.4">
      <c r="B316" s="94"/>
      <c r="F316" s="98"/>
      <c r="G316" s="98"/>
      <c r="H316" s="98"/>
      <c r="I316" s="98"/>
      <c r="J316" s="98"/>
      <c r="P316" s="84"/>
      <c r="Q316" s="99"/>
    </row>
    <row r="317" spans="2:17" ht="14.4">
      <c r="B317" s="94"/>
      <c r="F317" s="98"/>
      <c r="G317" s="98"/>
      <c r="H317" s="98"/>
      <c r="I317" s="98"/>
      <c r="J317" s="98"/>
      <c r="P317" s="84"/>
      <c r="Q317" s="99"/>
    </row>
    <row r="318" spans="2:17" ht="14.4">
      <c r="B318" s="94"/>
      <c r="F318" s="98"/>
      <c r="G318" s="98"/>
      <c r="H318" s="98"/>
      <c r="I318" s="98"/>
      <c r="J318" s="98"/>
      <c r="P318" s="84"/>
      <c r="Q318" s="99"/>
    </row>
    <row r="319" spans="2:17" ht="14.4">
      <c r="B319" s="94"/>
      <c r="F319" s="98"/>
      <c r="G319" s="98"/>
      <c r="H319" s="98"/>
      <c r="I319" s="98"/>
      <c r="J319" s="98"/>
      <c r="P319" s="84"/>
      <c r="Q319" s="99"/>
    </row>
    <row r="320" spans="2:17" ht="14.4">
      <c r="B320" s="94"/>
      <c r="F320" s="98"/>
      <c r="G320" s="98"/>
      <c r="H320" s="98"/>
      <c r="I320" s="98"/>
      <c r="J320" s="98"/>
      <c r="P320" s="84"/>
      <c r="Q320" s="99"/>
    </row>
    <row r="321" spans="2:17" ht="14.4">
      <c r="B321" s="94"/>
      <c r="F321" s="98"/>
      <c r="G321" s="98"/>
      <c r="H321" s="98"/>
      <c r="I321" s="98"/>
      <c r="J321" s="98"/>
      <c r="P321" s="84"/>
      <c r="Q321" s="99"/>
    </row>
    <row r="322" spans="2:17" ht="14.4">
      <c r="B322" s="94"/>
      <c r="F322" s="98"/>
      <c r="G322" s="98"/>
      <c r="H322" s="98"/>
      <c r="I322" s="98"/>
      <c r="J322" s="98"/>
      <c r="P322" s="84"/>
      <c r="Q322" s="99"/>
    </row>
    <row r="323" spans="2:17" ht="14.4">
      <c r="B323" s="94"/>
      <c r="F323" s="98"/>
      <c r="G323" s="98"/>
      <c r="H323" s="98"/>
      <c r="I323" s="98"/>
      <c r="J323" s="98"/>
      <c r="P323" s="84"/>
      <c r="Q323" s="99"/>
    </row>
    <row r="324" spans="2:17" ht="14.4">
      <c r="B324" s="94"/>
      <c r="F324" s="98"/>
      <c r="G324" s="98"/>
      <c r="H324" s="98"/>
      <c r="I324" s="98"/>
      <c r="J324" s="98"/>
      <c r="P324" s="84"/>
      <c r="Q324" s="99"/>
    </row>
    <row r="325" spans="2:17" ht="14.4">
      <c r="B325" s="94"/>
      <c r="F325" s="98"/>
      <c r="G325" s="98"/>
      <c r="H325" s="98"/>
      <c r="I325" s="98"/>
      <c r="J325" s="98"/>
      <c r="P325" s="84"/>
      <c r="Q325" s="99"/>
    </row>
    <row r="326" spans="2:17" ht="14.4">
      <c r="B326" s="94"/>
      <c r="F326" s="98"/>
      <c r="G326" s="98"/>
      <c r="H326" s="98"/>
      <c r="I326" s="98"/>
      <c r="J326" s="98"/>
      <c r="P326" s="84"/>
      <c r="Q326" s="99"/>
    </row>
    <row r="327" spans="2:17" ht="14.4">
      <c r="B327" s="94"/>
      <c r="F327" s="98"/>
      <c r="G327" s="98"/>
      <c r="H327" s="98"/>
      <c r="I327" s="98"/>
      <c r="J327" s="98"/>
      <c r="P327" s="84"/>
      <c r="Q327" s="99"/>
    </row>
    <row r="328" spans="2:17" ht="14.4">
      <c r="B328" s="94"/>
      <c r="F328" s="98"/>
      <c r="G328" s="98"/>
      <c r="H328" s="98"/>
      <c r="I328" s="98"/>
      <c r="J328" s="98"/>
      <c r="P328" s="84"/>
      <c r="Q328" s="99"/>
    </row>
    <row r="329" spans="2:17" ht="14.4">
      <c r="B329" s="94"/>
      <c r="F329" s="98"/>
      <c r="G329" s="98"/>
      <c r="H329" s="98"/>
      <c r="I329" s="98"/>
      <c r="J329" s="98"/>
      <c r="P329" s="84"/>
      <c r="Q329" s="99"/>
    </row>
    <row r="330" spans="2:17" ht="14.4">
      <c r="B330" s="94"/>
      <c r="F330" s="98"/>
      <c r="G330" s="98"/>
      <c r="H330" s="98"/>
      <c r="I330" s="98"/>
      <c r="J330" s="98"/>
      <c r="P330" s="84"/>
      <c r="Q330" s="99"/>
    </row>
    <row r="331" spans="2:17" ht="14.4">
      <c r="B331" s="94"/>
      <c r="F331" s="98"/>
      <c r="G331" s="98"/>
      <c r="H331" s="98"/>
      <c r="I331" s="98"/>
      <c r="J331" s="98"/>
      <c r="P331" s="84"/>
      <c r="Q331" s="99"/>
    </row>
    <row r="332" spans="2:17" ht="14.4">
      <c r="B332" s="94"/>
      <c r="F332" s="98"/>
      <c r="G332" s="98"/>
      <c r="H332" s="98"/>
      <c r="I332" s="98"/>
      <c r="J332" s="98"/>
      <c r="P332" s="84"/>
      <c r="Q332" s="99"/>
    </row>
    <row r="333" spans="2:17" ht="14.4">
      <c r="B333" s="94"/>
      <c r="F333" s="98"/>
      <c r="G333" s="98"/>
      <c r="H333" s="98"/>
      <c r="I333" s="98"/>
      <c r="J333" s="98"/>
      <c r="P333" s="84"/>
      <c r="Q333" s="99"/>
    </row>
    <row r="334" spans="2:17" ht="14.4">
      <c r="B334" s="94"/>
      <c r="F334" s="98"/>
      <c r="G334" s="98"/>
      <c r="H334" s="98"/>
      <c r="I334" s="98"/>
      <c r="J334" s="98"/>
      <c r="P334" s="84"/>
      <c r="Q334" s="99"/>
    </row>
    <row r="335" spans="2:17" ht="14.4">
      <c r="B335" s="94"/>
      <c r="F335" s="98"/>
      <c r="G335" s="98"/>
      <c r="H335" s="98"/>
      <c r="I335" s="98"/>
      <c r="J335" s="98"/>
      <c r="P335" s="84"/>
      <c r="Q335" s="99"/>
    </row>
    <row r="336" spans="2:17" ht="14.4">
      <c r="B336" s="94"/>
      <c r="F336" s="98"/>
      <c r="G336" s="98"/>
      <c r="H336" s="98"/>
      <c r="I336" s="98"/>
      <c r="J336" s="98"/>
      <c r="P336" s="84"/>
      <c r="Q336" s="99"/>
    </row>
    <row r="337" spans="2:17" ht="14.4">
      <c r="B337" s="94"/>
      <c r="F337" s="98"/>
      <c r="G337" s="98"/>
      <c r="H337" s="98"/>
      <c r="I337" s="98"/>
      <c r="J337" s="98"/>
      <c r="P337" s="84"/>
      <c r="Q337" s="99"/>
    </row>
    <row r="338" spans="2:17" ht="14.4">
      <c r="B338" s="94"/>
      <c r="F338" s="98"/>
      <c r="G338" s="98"/>
      <c r="H338" s="98"/>
      <c r="I338" s="98"/>
      <c r="J338" s="98"/>
      <c r="P338" s="84"/>
      <c r="Q338" s="99"/>
    </row>
    <row r="339" spans="2:17" ht="14.4">
      <c r="B339" s="94"/>
      <c r="F339" s="98"/>
      <c r="G339" s="98"/>
      <c r="H339" s="98"/>
      <c r="I339" s="98"/>
      <c r="J339" s="98"/>
      <c r="P339" s="84"/>
      <c r="Q339" s="99"/>
    </row>
    <row r="340" spans="2:17" ht="14.4">
      <c r="B340" s="94"/>
      <c r="F340" s="98"/>
      <c r="G340" s="98"/>
      <c r="H340" s="98"/>
      <c r="I340" s="98"/>
      <c r="J340" s="98"/>
      <c r="P340" s="84"/>
      <c r="Q340" s="99"/>
    </row>
    <row r="341" spans="2:17" ht="14.4">
      <c r="B341" s="94"/>
      <c r="F341" s="98"/>
      <c r="G341" s="98"/>
      <c r="H341" s="98"/>
      <c r="I341" s="98"/>
      <c r="J341" s="98"/>
      <c r="P341" s="84"/>
      <c r="Q341" s="99"/>
    </row>
    <row r="342" spans="2:17" ht="14.4">
      <c r="B342" s="94"/>
      <c r="F342" s="98"/>
      <c r="G342" s="98"/>
      <c r="H342" s="98"/>
      <c r="I342" s="98"/>
      <c r="J342" s="98"/>
      <c r="P342" s="84"/>
      <c r="Q342" s="99"/>
    </row>
    <row r="343" spans="2:17" ht="14.4">
      <c r="B343" s="94"/>
      <c r="F343" s="98"/>
      <c r="G343" s="98"/>
      <c r="H343" s="98"/>
      <c r="I343" s="98"/>
      <c r="J343" s="98"/>
      <c r="P343" s="84"/>
      <c r="Q343" s="99"/>
    </row>
    <row r="344" spans="2:17" ht="14.4">
      <c r="B344" s="94"/>
      <c r="F344" s="98"/>
      <c r="G344" s="98"/>
      <c r="H344" s="98"/>
      <c r="I344" s="98"/>
      <c r="J344" s="98"/>
      <c r="P344" s="84"/>
      <c r="Q344" s="99"/>
    </row>
    <row r="345" spans="2:17" ht="14.4">
      <c r="B345" s="94"/>
      <c r="F345" s="98"/>
      <c r="G345" s="98"/>
      <c r="H345" s="98"/>
      <c r="I345" s="98"/>
      <c r="J345" s="98"/>
      <c r="P345" s="84"/>
      <c r="Q345" s="99"/>
    </row>
    <row r="346" spans="2:17" ht="14.4">
      <c r="B346" s="94"/>
      <c r="F346" s="98"/>
      <c r="G346" s="98"/>
      <c r="H346" s="98"/>
      <c r="I346" s="98"/>
      <c r="J346" s="98"/>
      <c r="P346" s="84"/>
      <c r="Q346" s="99"/>
    </row>
    <row r="347" spans="2:17" ht="14.4">
      <c r="B347" s="94"/>
      <c r="F347" s="98"/>
      <c r="G347" s="98"/>
      <c r="H347" s="98"/>
      <c r="I347" s="98"/>
      <c r="J347" s="98"/>
      <c r="P347" s="84"/>
      <c r="Q347" s="99"/>
    </row>
    <row r="348" spans="2:17" ht="14.4">
      <c r="B348" s="94"/>
      <c r="F348" s="98"/>
      <c r="G348" s="98"/>
      <c r="H348" s="98"/>
      <c r="I348" s="98"/>
      <c r="J348" s="98"/>
      <c r="P348" s="84"/>
      <c r="Q348" s="99"/>
    </row>
    <row r="349" spans="2:17" ht="14.4">
      <c r="B349" s="94"/>
      <c r="F349" s="98"/>
      <c r="G349" s="98"/>
      <c r="H349" s="98"/>
      <c r="I349" s="98"/>
      <c r="J349" s="98"/>
      <c r="P349" s="84"/>
      <c r="Q349" s="99"/>
    </row>
    <row r="350" spans="2:17" ht="14.4">
      <c r="B350" s="94"/>
      <c r="F350" s="98"/>
      <c r="G350" s="98"/>
      <c r="H350" s="98"/>
      <c r="I350" s="98"/>
      <c r="J350" s="98"/>
      <c r="P350" s="84"/>
      <c r="Q350" s="99"/>
    </row>
    <row r="351" spans="2:17" ht="14.4">
      <c r="B351" s="94"/>
      <c r="F351" s="98"/>
      <c r="G351" s="98"/>
      <c r="H351" s="98"/>
      <c r="I351" s="98"/>
      <c r="J351" s="98"/>
      <c r="P351" s="84"/>
      <c r="Q351" s="99"/>
    </row>
    <row r="352" spans="2:17" ht="14.4">
      <c r="B352" s="94"/>
      <c r="F352" s="98"/>
      <c r="G352" s="98"/>
      <c r="H352" s="98"/>
      <c r="I352" s="98"/>
      <c r="J352" s="98"/>
      <c r="P352" s="84"/>
      <c r="Q352" s="99"/>
    </row>
    <row r="353" spans="2:17" ht="14.4">
      <c r="B353" s="94"/>
      <c r="F353" s="98"/>
      <c r="G353" s="98"/>
      <c r="H353" s="98"/>
      <c r="I353" s="98"/>
      <c r="J353" s="98"/>
      <c r="P353" s="84"/>
      <c r="Q353" s="99"/>
    </row>
    <row r="354" spans="2:17" ht="14.4">
      <c r="B354" s="94"/>
      <c r="F354" s="98"/>
      <c r="G354" s="98"/>
      <c r="H354" s="98"/>
      <c r="I354" s="98"/>
      <c r="J354" s="98"/>
      <c r="P354" s="84"/>
      <c r="Q354" s="99"/>
    </row>
    <row r="355" spans="2:17" ht="14.4">
      <c r="B355" s="94"/>
      <c r="F355" s="98"/>
      <c r="G355" s="98"/>
      <c r="H355" s="98"/>
      <c r="I355" s="98"/>
      <c r="J355" s="98"/>
      <c r="P355" s="84"/>
      <c r="Q355" s="99"/>
    </row>
    <row r="356" spans="2:17" ht="14.4">
      <c r="B356" s="94"/>
      <c r="F356" s="98"/>
      <c r="G356" s="98"/>
      <c r="H356" s="98"/>
      <c r="I356" s="98"/>
      <c r="J356" s="98"/>
      <c r="P356" s="84"/>
      <c r="Q356" s="99"/>
    </row>
    <row r="357" spans="2:17" ht="14.4">
      <c r="B357" s="94"/>
      <c r="F357" s="98"/>
      <c r="G357" s="98"/>
      <c r="H357" s="98"/>
      <c r="I357" s="98"/>
      <c r="J357" s="98"/>
      <c r="P357" s="84"/>
      <c r="Q357" s="99"/>
    </row>
    <row r="358" spans="2:17" ht="14.4">
      <c r="B358" s="94"/>
      <c r="F358" s="98"/>
      <c r="G358" s="98"/>
      <c r="H358" s="98"/>
      <c r="I358" s="98"/>
      <c r="J358" s="98"/>
      <c r="P358" s="84"/>
      <c r="Q358" s="99"/>
    </row>
    <row r="359" spans="2:17" ht="14.4">
      <c r="B359" s="94"/>
      <c r="F359" s="98"/>
      <c r="G359" s="98"/>
      <c r="H359" s="98"/>
      <c r="I359" s="98"/>
      <c r="J359" s="98"/>
      <c r="P359" s="84"/>
      <c r="Q359" s="99"/>
    </row>
    <row r="360" spans="2:17" ht="14.4">
      <c r="B360" s="94"/>
      <c r="F360" s="98"/>
      <c r="G360" s="98"/>
      <c r="H360" s="98"/>
      <c r="I360" s="98"/>
      <c r="J360" s="98"/>
      <c r="P360" s="84"/>
      <c r="Q360" s="99"/>
    </row>
    <row r="361" spans="2:17" ht="14.4">
      <c r="B361" s="94"/>
      <c r="F361" s="98"/>
      <c r="G361" s="98"/>
      <c r="H361" s="98"/>
      <c r="I361" s="98"/>
      <c r="J361" s="98"/>
      <c r="P361" s="84"/>
      <c r="Q361" s="99"/>
    </row>
    <row r="362" spans="2:17" ht="14.4">
      <c r="B362" s="94"/>
      <c r="F362" s="98"/>
      <c r="G362" s="98"/>
      <c r="H362" s="98"/>
      <c r="I362" s="98"/>
      <c r="J362" s="98"/>
      <c r="P362" s="84"/>
      <c r="Q362" s="99"/>
    </row>
    <row r="363" spans="2:17" ht="14.4">
      <c r="B363" s="94"/>
      <c r="F363" s="98"/>
      <c r="G363" s="98"/>
      <c r="H363" s="98"/>
      <c r="I363" s="98"/>
      <c r="J363" s="98"/>
      <c r="P363" s="84"/>
      <c r="Q363" s="99"/>
    </row>
    <row r="364" spans="2:17" ht="14.4">
      <c r="B364" s="94"/>
      <c r="F364" s="98"/>
      <c r="G364" s="98"/>
      <c r="H364" s="98"/>
      <c r="I364" s="98"/>
      <c r="J364" s="98"/>
      <c r="P364" s="84"/>
      <c r="Q364" s="99"/>
    </row>
    <row r="365" spans="2:17" ht="14.4">
      <c r="B365" s="94"/>
      <c r="F365" s="98"/>
      <c r="G365" s="98"/>
      <c r="H365" s="98"/>
      <c r="I365" s="98"/>
      <c r="J365" s="98"/>
      <c r="P365" s="84"/>
      <c r="Q365" s="99"/>
    </row>
    <row r="366" spans="2:17" ht="14.4">
      <c r="B366" s="94"/>
      <c r="F366" s="98"/>
      <c r="G366" s="98"/>
      <c r="H366" s="98"/>
      <c r="I366" s="98"/>
      <c r="J366" s="98"/>
      <c r="P366" s="84"/>
      <c r="Q366" s="99"/>
    </row>
    <row r="367" spans="2:17" ht="14.4">
      <c r="B367" s="94"/>
      <c r="F367" s="98"/>
      <c r="G367" s="98"/>
      <c r="H367" s="98"/>
      <c r="I367" s="98"/>
      <c r="J367" s="98"/>
      <c r="P367" s="84"/>
      <c r="Q367" s="99"/>
    </row>
    <row r="368" spans="2:17" ht="14.4">
      <c r="B368" s="94"/>
      <c r="F368" s="98"/>
      <c r="G368" s="98"/>
      <c r="H368" s="98"/>
      <c r="I368" s="98"/>
      <c r="J368" s="98"/>
      <c r="P368" s="84"/>
      <c r="Q368" s="99"/>
    </row>
    <row r="369" spans="2:17" ht="14.4">
      <c r="B369" s="94"/>
      <c r="F369" s="98"/>
      <c r="G369" s="98"/>
      <c r="H369" s="98"/>
      <c r="I369" s="98"/>
      <c r="J369" s="98"/>
      <c r="P369" s="84"/>
      <c r="Q369" s="99"/>
    </row>
    <row r="370" spans="2:17" ht="14.4">
      <c r="B370" s="94"/>
      <c r="F370" s="98"/>
      <c r="G370" s="98"/>
      <c r="H370" s="98"/>
      <c r="I370" s="98"/>
      <c r="J370" s="98"/>
      <c r="P370" s="84"/>
      <c r="Q370" s="99"/>
    </row>
    <row r="371" spans="2:17" ht="14.4">
      <c r="B371" s="94"/>
      <c r="F371" s="98"/>
      <c r="G371" s="98"/>
      <c r="H371" s="98"/>
      <c r="I371" s="98"/>
      <c r="J371" s="98"/>
      <c r="P371" s="84"/>
      <c r="Q371" s="99"/>
    </row>
    <row r="372" spans="2:17" ht="14.4">
      <c r="B372" s="94"/>
      <c r="F372" s="98"/>
      <c r="G372" s="98"/>
      <c r="H372" s="98"/>
      <c r="I372" s="98"/>
      <c r="J372" s="98"/>
      <c r="P372" s="84"/>
      <c r="Q372" s="99"/>
    </row>
    <row r="373" spans="2:17" ht="14.4">
      <c r="B373" s="94"/>
      <c r="F373" s="98"/>
      <c r="G373" s="98"/>
      <c r="H373" s="98"/>
      <c r="I373" s="98"/>
      <c r="J373" s="98"/>
      <c r="P373" s="84"/>
      <c r="Q373" s="99"/>
    </row>
    <row r="374" spans="2:17" ht="14.4">
      <c r="B374" s="94"/>
      <c r="F374" s="98"/>
      <c r="G374" s="98"/>
      <c r="H374" s="98"/>
      <c r="I374" s="98"/>
      <c r="J374" s="98"/>
      <c r="P374" s="84"/>
      <c r="Q374" s="99"/>
    </row>
    <row r="375" spans="2:17" ht="14.4">
      <c r="B375" s="94"/>
      <c r="F375" s="98"/>
      <c r="G375" s="98"/>
      <c r="H375" s="98"/>
      <c r="I375" s="98"/>
      <c r="J375" s="98"/>
      <c r="P375" s="84"/>
      <c r="Q375" s="99"/>
    </row>
    <row r="376" spans="2:17" ht="14.4">
      <c r="B376" s="94"/>
      <c r="F376" s="98"/>
      <c r="G376" s="98"/>
      <c r="H376" s="98"/>
      <c r="I376" s="98"/>
      <c r="J376" s="98"/>
      <c r="P376" s="84"/>
      <c r="Q376" s="99"/>
    </row>
    <row r="377" spans="2:17" ht="14.4">
      <c r="B377" s="94"/>
      <c r="F377" s="98"/>
      <c r="G377" s="98"/>
      <c r="H377" s="98"/>
      <c r="I377" s="98"/>
      <c r="J377" s="98"/>
      <c r="P377" s="84"/>
      <c r="Q377" s="99"/>
    </row>
    <row r="378" spans="2:17" ht="14.4">
      <c r="B378" s="94"/>
      <c r="F378" s="98"/>
      <c r="G378" s="98"/>
      <c r="H378" s="98"/>
      <c r="I378" s="98"/>
      <c r="J378" s="98"/>
      <c r="P378" s="84"/>
      <c r="Q378" s="99"/>
    </row>
    <row r="379" spans="2:17" ht="14.4">
      <c r="B379" s="94"/>
      <c r="F379" s="98"/>
      <c r="G379" s="98"/>
      <c r="H379" s="98"/>
      <c r="I379" s="98"/>
      <c r="J379" s="98"/>
      <c r="P379" s="84"/>
      <c r="Q379" s="99"/>
    </row>
    <row r="380" spans="2:17" ht="14.4">
      <c r="B380" s="94"/>
      <c r="F380" s="98"/>
      <c r="G380" s="98"/>
      <c r="H380" s="98"/>
      <c r="I380" s="98"/>
      <c r="J380" s="98"/>
      <c r="P380" s="84"/>
      <c r="Q380" s="99"/>
    </row>
    <row r="381" spans="2:17" ht="14.4">
      <c r="B381" s="94"/>
      <c r="F381" s="98"/>
      <c r="G381" s="98"/>
      <c r="H381" s="98"/>
      <c r="I381" s="98"/>
      <c r="J381" s="98"/>
      <c r="P381" s="84"/>
      <c r="Q381" s="99"/>
    </row>
    <row r="382" spans="2:17" ht="14.4">
      <c r="B382" s="94"/>
      <c r="F382" s="98"/>
      <c r="G382" s="98"/>
      <c r="H382" s="98"/>
      <c r="I382" s="98"/>
      <c r="J382" s="98"/>
      <c r="P382" s="84"/>
      <c r="Q382" s="99"/>
    </row>
    <row r="383" spans="2:17" ht="14.4">
      <c r="B383" s="94"/>
      <c r="F383" s="98"/>
      <c r="G383" s="98"/>
      <c r="H383" s="98"/>
      <c r="I383" s="98"/>
      <c r="J383" s="98"/>
      <c r="P383" s="84"/>
      <c r="Q383" s="99"/>
    </row>
    <row r="384" spans="2:17" ht="14.4">
      <c r="B384" s="94"/>
      <c r="F384" s="98"/>
      <c r="G384" s="98"/>
      <c r="H384" s="98"/>
      <c r="I384" s="98"/>
      <c r="J384" s="98"/>
      <c r="P384" s="84"/>
      <c r="Q384" s="99"/>
    </row>
    <row r="385" spans="2:17" ht="14.4">
      <c r="B385" s="94"/>
      <c r="F385" s="98"/>
      <c r="G385" s="98"/>
      <c r="H385" s="98"/>
      <c r="I385" s="98"/>
      <c r="J385" s="98"/>
      <c r="P385" s="84"/>
      <c r="Q385" s="99"/>
    </row>
    <row r="386" spans="2:17" ht="14.4">
      <c r="B386" s="94"/>
      <c r="F386" s="98"/>
      <c r="G386" s="98"/>
      <c r="H386" s="98"/>
      <c r="I386" s="98"/>
      <c r="J386" s="98"/>
      <c r="P386" s="84"/>
      <c r="Q386" s="99"/>
    </row>
    <row r="387" spans="2:17" ht="14.4">
      <c r="B387" s="94"/>
      <c r="F387" s="98"/>
      <c r="G387" s="98"/>
      <c r="H387" s="98"/>
      <c r="I387" s="98"/>
      <c r="J387" s="98"/>
      <c r="P387" s="84"/>
      <c r="Q387" s="99"/>
    </row>
    <row r="388" spans="2:17" ht="14.4">
      <c r="B388" s="94"/>
      <c r="F388" s="98"/>
      <c r="G388" s="98"/>
      <c r="H388" s="98"/>
      <c r="I388" s="98"/>
      <c r="J388" s="98"/>
      <c r="P388" s="84"/>
      <c r="Q388" s="99"/>
    </row>
    <row r="389" spans="2:17" ht="14.4">
      <c r="B389" s="94"/>
      <c r="F389" s="98"/>
      <c r="G389" s="98"/>
      <c r="H389" s="98"/>
      <c r="I389" s="98"/>
      <c r="J389" s="98"/>
      <c r="P389" s="84"/>
      <c r="Q389" s="99"/>
    </row>
    <row r="390" spans="2:17" ht="14.4">
      <c r="B390" s="94"/>
      <c r="F390" s="98"/>
      <c r="G390" s="98"/>
      <c r="H390" s="98"/>
      <c r="I390" s="98"/>
      <c r="J390" s="98"/>
      <c r="P390" s="84"/>
      <c r="Q390" s="99"/>
    </row>
    <row r="391" spans="2:17" ht="14.4">
      <c r="B391" s="94"/>
      <c r="F391" s="98"/>
      <c r="G391" s="98"/>
      <c r="H391" s="98"/>
      <c r="I391" s="98"/>
      <c r="J391" s="98"/>
      <c r="P391" s="84"/>
      <c r="Q391" s="99"/>
    </row>
    <row r="392" spans="2:17" ht="14.4">
      <c r="B392" s="94"/>
      <c r="F392" s="98"/>
      <c r="G392" s="98"/>
      <c r="H392" s="98"/>
      <c r="I392" s="98"/>
      <c r="J392" s="98"/>
      <c r="P392" s="84"/>
      <c r="Q392" s="99"/>
    </row>
    <row r="393" spans="2:17" ht="14.4">
      <c r="B393" s="94"/>
      <c r="F393" s="98"/>
      <c r="G393" s="98"/>
      <c r="H393" s="98"/>
      <c r="I393" s="98"/>
      <c r="J393" s="98"/>
      <c r="P393" s="84"/>
      <c r="Q393" s="99"/>
    </row>
    <row r="394" spans="2:17" ht="14.4">
      <c r="B394" s="94"/>
      <c r="F394" s="98"/>
      <c r="G394" s="98"/>
      <c r="H394" s="98"/>
      <c r="I394" s="98"/>
      <c r="J394" s="98"/>
      <c r="P394" s="84"/>
      <c r="Q394" s="99"/>
    </row>
    <row r="395" spans="2:17" ht="14.4">
      <c r="B395" s="94"/>
      <c r="F395" s="98"/>
      <c r="G395" s="98"/>
      <c r="H395" s="98"/>
      <c r="I395" s="98"/>
      <c r="J395" s="98"/>
      <c r="P395" s="84"/>
      <c r="Q395" s="99"/>
    </row>
    <row r="396" spans="2:17" ht="14.4">
      <c r="B396" s="94"/>
      <c r="F396" s="98"/>
      <c r="G396" s="98"/>
      <c r="H396" s="98"/>
      <c r="I396" s="98"/>
      <c r="J396" s="98"/>
      <c r="P396" s="84"/>
      <c r="Q396" s="99"/>
    </row>
    <row r="397" spans="2:17" ht="14.4">
      <c r="B397" s="94"/>
      <c r="F397" s="98"/>
      <c r="G397" s="98"/>
      <c r="H397" s="98"/>
      <c r="I397" s="98"/>
      <c r="J397" s="98"/>
      <c r="P397" s="84"/>
      <c r="Q397" s="99"/>
    </row>
    <row r="398" spans="2:17" ht="14.4">
      <c r="B398" s="94"/>
      <c r="F398" s="98"/>
      <c r="G398" s="98"/>
      <c r="H398" s="98"/>
      <c r="I398" s="98"/>
      <c r="J398" s="98"/>
      <c r="P398" s="84"/>
      <c r="Q398" s="99"/>
    </row>
    <row r="399" spans="2:17" ht="14.4">
      <c r="B399" s="94"/>
      <c r="F399" s="98"/>
      <c r="G399" s="98"/>
      <c r="H399" s="98"/>
      <c r="I399" s="98"/>
      <c r="J399" s="98"/>
      <c r="P399" s="84"/>
      <c r="Q399" s="99"/>
    </row>
    <row r="400" spans="2:17" ht="14.4">
      <c r="B400" s="94"/>
      <c r="F400" s="98"/>
      <c r="G400" s="98"/>
      <c r="H400" s="98"/>
      <c r="I400" s="98"/>
      <c r="J400" s="98"/>
      <c r="P400" s="84"/>
      <c r="Q400" s="99"/>
    </row>
    <row r="401" spans="2:17" ht="14.4">
      <c r="B401" s="94"/>
      <c r="F401" s="98"/>
      <c r="G401" s="98"/>
      <c r="H401" s="98"/>
      <c r="I401" s="98"/>
      <c r="J401" s="98"/>
      <c r="P401" s="84"/>
      <c r="Q401" s="99"/>
    </row>
    <row r="402" spans="2:17" ht="14.4">
      <c r="B402" s="94"/>
      <c r="F402" s="98"/>
      <c r="G402" s="98"/>
      <c r="H402" s="98"/>
      <c r="I402" s="98"/>
      <c r="J402" s="98"/>
      <c r="P402" s="84"/>
      <c r="Q402" s="99"/>
    </row>
    <row r="403" spans="2:17" ht="14.4">
      <c r="B403" s="94"/>
      <c r="F403" s="98"/>
      <c r="G403" s="98"/>
      <c r="H403" s="98"/>
      <c r="I403" s="98"/>
      <c r="J403" s="98"/>
      <c r="P403" s="84"/>
      <c r="Q403" s="99"/>
    </row>
    <row r="404" spans="2:17" ht="14.4">
      <c r="B404" s="94"/>
      <c r="F404" s="98"/>
      <c r="G404" s="98"/>
      <c r="H404" s="98"/>
      <c r="I404" s="98"/>
      <c r="J404" s="98"/>
      <c r="P404" s="84"/>
      <c r="Q404" s="99"/>
    </row>
    <row r="405" spans="2:17" ht="14.4">
      <c r="B405" s="94"/>
      <c r="F405" s="98"/>
      <c r="G405" s="98"/>
      <c r="H405" s="98"/>
      <c r="I405" s="98"/>
      <c r="J405" s="98"/>
      <c r="P405" s="84"/>
      <c r="Q405" s="99"/>
    </row>
    <row r="406" spans="2:17" ht="14.4">
      <c r="B406" s="94"/>
      <c r="F406" s="98"/>
      <c r="G406" s="98"/>
      <c r="H406" s="98"/>
      <c r="I406" s="98"/>
      <c r="J406" s="98"/>
      <c r="P406" s="84"/>
      <c r="Q406" s="99"/>
    </row>
    <row r="407" spans="2:17" ht="14.4">
      <c r="B407" s="94"/>
      <c r="F407" s="98"/>
      <c r="G407" s="98"/>
      <c r="H407" s="98"/>
      <c r="I407" s="98"/>
      <c r="J407" s="98"/>
      <c r="P407" s="84"/>
      <c r="Q407" s="99"/>
    </row>
    <row r="408" spans="2:17" ht="14.4">
      <c r="B408" s="94"/>
      <c r="F408" s="98"/>
      <c r="G408" s="98"/>
      <c r="H408" s="98"/>
      <c r="I408" s="98"/>
      <c r="J408" s="98"/>
      <c r="P408" s="84"/>
      <c r="Q408" s="99"/>
    </row>
    <row r="409" spans="2:17" ht="14.4">
      <c r="B409" s="94"/>
      <c r="F409" s="98"/>
      <c r="G409" s="98"/>
      <c r="H409" s="98"/>
      <c r="I409" s="98"/>
      <c r="J409" s="98"/>
      <c r="P409" s="84"/>
      <c r="Q409" s="99"/>
    </row>
    <row r="410" spans="2:17" ht="14.4">
      <c r="B410" s="94"/>
      <c r="F410" s="98"/>
      <c r="G410" s="98"/>
      <c r="H410" s="98"/>
      <c r="I410" s="98"/>
      <c r="J410" s="98"/>
      <c r="P410" s="84"/>
      <c r="Q410" s="99"/>
    </row>
    <row r="411" spans="2:17" ht="14.4">
      <c r="B411" s="94"/>
      <c r="F411" s="98"/>
      <c r="G411" s="98"/>
      <c r="H411" s="98"/>
      <c r="I411" s="98"/>
      <c r="J411" s="98"/>
      <c r="P411" s="84"/>
      <c r="Q411" s="99"/>
    </row>
    <row r="412" spans="2:17" ht="14.4">
      <c r="B412" s="94"/>
      <c r="F412" s="98"/>
      <c r="G412" s="98"/>
      <c r="H412" s="98"/>
      <c r="I412" s="98"/>
      <c r="J412" s="98"/>
      <c r="P412" s="84"/>
      <c r="Q412" s="99"/>
    </row>
    <row r="413" spans="2:17" ht="14.4">
      <c r="B413" s="94"/>
      <c r="F413" s="98"/>
      <c r="G413" s="98"/>
      <c r="H413" s="98"/>
      <c r="I413" s="98"/>
      <c r="J413" s="98"/>
      <c r="P413" s="84"/>
      <c r="Q413" s="99"/>
    </row>
    <row r="414" spans="2:17" ht="14.4">
      <c r="B414" s="94"/>
      <c r="F414" s="98"/>
      <c r="G414" s="98"/>
      <c r="H414" s="98"/>
      <c r="I414" s="98"/>
      <c r="J414" s="98"/>
      <c r="P414" s="84"/>
      <c r="Q414" s="99"/>
    </row>
    <row r="415" spans="2:17" ht="14.4">
      <c r="B415" s="94"/>
      <c r="F415" s="98"/>
      <c r="G415" s="98"/>
      <c r="H415" s="98"/>
      <c r="I415" s="98"/>
      <c r="J415" s="98"/>
      <c r="P415" s="84"/>
      <c r="Q415" s="99"/>
    </row>
    <row r="416" spans="2:17" ht="14.4">
      <c r="B416" s="94"/>
      <c r="F416" s="98"/>
      <c r="G416" s="98"/>
      <c r="H416" s="98"/>
      <c r="I416" s="98"/>
      <c r="J416" s="98"/>
      <c r="P416" s="84"/>
      <c r="Q416" s="99"/>
    </row>
    <row r="417" spans="2:17" ht="14.4">
      <c r="B417" s="94"/>
      <c r="F417" s="98"/>
      <c r="G417" s="98"/>
      <c r="H417" s="98"/>
      <c r="I417" s="98"/>
      <c r="J417" s="98"/>
      <c r="P417" s="84"/>
      <c r="Q417" s="99"/>
    </row>
    <row r="418" spans="2:17" ht="14.4">
      <c r="B418" s="94"/>
      <c r="F418" s="98"/>
      <c r="G418" s="98"/>
      <c r="H418" s="98"/>
      <c r="I418" s="98"/>
      <c r="J418" s="98"/>
      <c r="P418" s="84"/>
      <c r="Q418" s="99"/>
    </row>
    <row r="419" spans="2:17" ht="14.4">
      <c r="B419" s="94"/>
      <c r="F419" s="98"/>
      <c r="G419" s="98"/>
      <c r="H419" s="98"/>
      <c r="I419" s="98"/>
      <c r="J419" s="98"/>
      <c r="P419" s="84"/>
      <c r="Q419" s="99"/>
    </row>
    <row r="420" spans="2:17" ht="14.4">
      <c r="B420" s="94"/>
      <c r="F420" s="98"/>
      <c r="G420" s="98"/>
      <c r="H420" s="98"/>
      <c r="I420" s="98"/>
      <c r="J420" s="98"/>
      <c r="P420" s="84"/>
      <c r="Q420" s="99"/>
    </row>
    <row r="421" spans="2:17" ht="14.4">
      <c r="B421" s="94"/>
      <c r="F421" s="98"/>
      <c r="G421" s="98"/>
      <c r="H421" s="98"/>
      <c r="I421" s="98"/>
      <c r="J421" s="98"/>
      <c r="P421" s="84"/>
      <c r="Q421" s="99"/>
    </row>
    <row r="422" spans="2:17" ht="14.4">
      <c r="B422" s="94"/>
      <c r="F422" s="98"/>
      <c r="G422" s="98"/>
      <c r="H422" s="98"/>
      <c r="I422" s="98"/>
      <c r="J422" s="98"/>
      <c r="P422" s="84"/>
      <c r="Q422" s="99"/>
    </row>
    <row r="423" spans="2:17" ht="14.4">
      <c r="B423" s="94"/>
      <c r="F423" s="98"/>
      <c r="G423" s="98"/>
      <c r="H423" s="98"/>
      <c r="I423" s="98"/>
      <c r="J423" s="98"/>
      <c r="P423" s="84"/>
      <c r="Q423" s="99"/>
    </row>
    <row r="424" spans="2:17" ht="14.4">
      <c r="B424" s="94"/>
      <c r="F424" s="98"/>
      <c r="G424" s="98"/>
      <c r="H424" s="98"/>
      <c r="I424" s="98"/>
      <c r="J424" s="98"/>
      <c r="P424" s="84"/>
      <c r="Q424" s="99"/>
    </row>
    <row r="425" spans="2:17" ht="14.4">
      <c r="B425" s="94"/>
      <c r="F425" s="98"/>
      <c r="G425" s="98"/>
      <c r="H425" s="98"/>
      <c r="I425" s="98"/>
      <c r="J425" s="98"/>
      <c r="P425" s="84"/>
      <c r="Q425" s="99"/>
    </row>
    <row r="426" spans="2:17" ht="14.4">
      <c r="B426" s="94"/>
      <c r="F426" s="98"/>
      <c r="G426" s="98"/>
      <c r="H426" s="98"/>
      <c r="I426" s="98"/>
      <c r="J426" s="98"/>
      <c r="P426" s="84"/>
      <c r="Q426" s="99"/>
    </row>
    <row r="427" spans="2:17" ht="14.4">
      <c r="B427" s="94"/>
      <c r="F427" s="98"/>
      <c r="G427" s="98"/>
      <c r="H427" s="98"/>
      <c r="I427" s="98"/>
      <c r="J427" s="98"/>
      <c r="P427" s="84"/>
      <c r="Q427" s="99"/>
    </row>
    <row r="428" spans="2:17" ht="14.4">
      <c r="B428" s="94"/>
      <c r="F428" s="98"/>
      <c r="G428" s="98"/>
      <c r="H428" s="98"/>
      <c r="I428" s="98"/>
      <c r="J428" s="98"/>
      <c r="P428" s="84"/>
      <c r="Q428" s="99"/>
    </row>
    <row r="429" spans="2:17" ht="14.4">
      <c r="B429" s="94"/>
      <c r="F429" s="98"/>
      <c r="G429" s="98"/>
      <c r="H429" s="98"/>
      <c r="I429" s="98"/>
      <c r="J429" s="98"/>
      <c r="P429" s="84"/>
      <c r="Q429" s="99"/>
    </row>
    <row r="430" spans="2:17" ht="14.4">
      <c r="B430" s="94"/>
      <c r="F430" s="98"/>
      <c r="G430" s="98"/>
      <c r="H430" s="98"/>
      <c r="I430" s="98"/>
      <c r="J430" s="98"/>
      <c r="P430" s="84"/>
      <c r="Q430" s="99"/>
    </row>
    <row r="431" spans="2:17" ht="14.4">
      <c r="B431" s="94"/>
      <c r="F431" s="98"/>
      <c r="G431" s="98"/>
      <c r="H431" s="98"/>
      <c r="I431" s="98"/>
      <c r="J431" s="98"/>
      <c r="P431" s="84"/>
      <c r="Q431" s="99"/>
    </row>
    <row r="432" spans="2:17" ht="14.4">
      <c r="B432" s="94"/>
      <c r="F432" s="98"/>
      <c r="G432" s="98"/>
      <c r="H432" s="98"/>
      <c r="I432" s="98"/>
      <c r="J432" s="98"/>
      <c r="P432" s="84"/>
      <c r="Q432" s="99"/>
    </row>
    <row r="433" spans="2:17" ht="14.4">
      <c r="B433" s="94"/>
      <c r="F433" s="98"/>
      <c r="G433" s="98"/>
      <c r="H433" s="98"/>
      <c r="I433" s="98"/>
      <c r="J433" s="98"/>
      <c r="P433" s="84"/>
      <c r="Q433" s="99"/>
    </row>
    <row r="434" spans="2:17" ht="14.4">
      <c r="B434" s="94"/>
      <c r="F434" s="98"/>
      <c r="G434" s="98"/>
      <c r="H434" s="98"/>
      <c r="I434" s="98"/>
      <c r="J434" s="98"/>
      <c r="P434" s="84"/>
      <c r="Q434" s="99"/>
    </row>
    <row r="435" spans="2:17" ht="14.4">
      <c r="B435" s="94"/>
      <c r="F435" s="98"/>
      <c r="G435" s="98"/>
      <c r="H435" s="98"/>
      <c r="I435" s="98"/>
      <c r="J435" s="98"/>
      <c r="P435" s="84"/>
      <c r="Q435" s="99"/>
    </row>
    <row r="436" spans="2:17" ht="14.4">
      <c r="B436" s="94"/>
      <c r="F436" s="98"/>
      <c r="G436" s="98"/>
      <c r="H436" s="98"/>
      <c r="I436" s="98"/>
      <c r="J436" s="98"/>
      <c r="P436" s="84"/>
      <c r="Q436" s="99"/>
    </row>
    <row r="437" spans="2:17" ht="14.4">
      <c r="B437" s="94"/>
      <c r="F437" s="98"/>
      <c r="G437" s="98"/>
      <c r="H437" s="98"/>
      <c r="I437" s="98"/>
      <c r="J437" s="98"/>
      <c r="P437" s="84"/>
      <c r="Q437" s="99"/>
    </row>
    <row r="438" spans="2:17" ht="14.4">
      <c r="B438" s="94"/>
      <c r="F438" s="98"/>
      <c r="G438" s="98"/>
      <c r="H438" s="98"/>
      <c r="I438" s="98"/>
      <c r="J438" s="98"/>
      <c r="P438" s="84"/>
      <c r="Q438" s="99"/>
    </row>
    <row r="439" spans="2:17" ht="14.4">
      <c r="B439" s="94"/>
      <c r="F439" s="98"/>
      <c r="G439" s="98"/>
      <c r="H439" s="98"/>
      <c r="I439" s="98"/>
      <c r="J439" s="98"/>
      <c r="P439" s="84"/>
      <c r="Q439" s="99"/>
    </row>
    <row r="440" spans="2:17" ht="14.4">
      <c r="B440" s="94"/>
      <c r="F440" s="98"/>
      <c r="G440" s="98"/>
      <c r="H440" s="98"/>
      <c r="I440" s="98"/>
      <c r="J440" s="98"/>
      <c r="P440" s="84"/>
      <c r="Q440" s="99"/>
    </row>
    <row r="441" spans="2:17" ht="14.4">
      <c r="B441" s="94"/>
      <c r="F441" s="98"/>
      <c r="G441" s="98"/>
      <c r="H441" s="98"/>
      <c r="I441" s="98"/>
      <c r="J441" s="98"/>
      <c r="P441" s="84"/>
      <c r="Q441" s="99"/>
    </row>
    <row r="442" spans="2:17" ht="14.4">
      <c r="B442" s="94"/>
      <c r="F442" s="98"/>
      <c r="G442" s="98"/>
      <c r="H442" s="98"/>
      <c r="I442" s="98"/>
      <c r="J442" s="98"/>
      <c r="P442" s="84"/>
      <c r="Q442" s="99"/>
    </row>
    <row r="443" spans="2:17" ht="14.4">
      <c r="B443" s="94"/>
      <c r="F443" s="98"/>
      <c r="G443" s="98"/>
      <c r="H443" s="98"/>
      <c r="I443" s="98"/>
      <c r="J443" s="98"/>
      <c r="P443" s="84"/>
      <c r="Q443" s="99"/>
    </row>
    <row r="444" spans="2:17" ht="14.4">
      <c r="B444" s="94"/>
      <c r="F444" s="98"/>
      <c r="G444" s="98"/>
      <c r="H444" s="98"/>
      <c r="I444" s="98"/>
      <c r="J444" s="98"/>
      <c r="P444" s="84"/>
      <c r="Q444" s="99"/>
    </row>
    <row r="445" spans="2:17" ht="14.4">
      <c r="B445" s="94"/>
      <c r="F445" s="98"/>
      <c r="G445" s="98"/>
      <c r="H445" s="98"/>
      <c r="I445" s="98"/>
      <c r="J445" s="98"/>
      <c r="P445" s="84"/>
      <c r="Q445" s="99"/>
    </row>
    <row r="446" spans="2:17" ht="14.4">
      <c r="B446" s="94"/>
      <c r="F446" s="98"/>
      <c r="G446" s="98"/>
      <c r="H446" s="98"/>
      <c r="I446" s="98"/>
      <c r="J446" s="98"/>
      <c r="P446" s="84"/>
      <c r="Q446" s="99"/>
    </row>
    <row r="447" spans="2:17" ht="14.4">
      <c r="B447" s="94"/>
      <c r="F447" s="98"/>
      <c r="G447" s="98"/>
      <c r="H447" s="98"/>
      <c r="I447" s="98"/>
      <c r="J447" s="98"/>
      <c r="P447" s="84"/>
      <c r="Q447" s="99"/>
    </row>
    <row r="448" spans="2:17" ht="14.4">
      <c r="B448" s="94"/>
      <c r="F448" s="98"/>
      <c r="G448" s="98"/>
      <c r="H448" s="98"/>
      <c r="I448" s="98"/>
      <c r="J448" s="98"/>
      <c r="P448" s="84"/>
      <c r="Q448" s="99"/>
    </row>
    <row r="449" spans="2:17" ht="14.4">
      <c r="B449" s="94"/>
      <c r="F449" s="98"/>
      <c r="G449" s="98"/>
      <c r="H449" s="98"/>
      <c r="I449" s="98"/>
      <c r="J449" s="98"/>
      <c r="P449" s="84"/>
      <c r="Q449" s="99"/>
    </row>
    <row r="450" spans="2:17" ht="14.4">
      <c r="B450" s="94"/>
      <c r="F450" s="98"/>
      <c r="G450" s="98"/>
      <c r="H450" s="98"/>
      <c r="I450" s="98"/>
      <c r="J450" s="98"/>
      <c r="P450" s="84"/>
      <c r="Q450" s="99"/>
    </row>
    <row r="451" spans="2:17" ht="14.4">
      <c r="B451" s="94"/>
      <c r="F451" s="98"/>
      <c r="G451" s="98"/>
      <c r="H451" s="98"/>
      <c r="I451" s="98"/>
      <c r="J451" s="98"/>
      <c r="P451" s="84"/>
      <c r="Q451" s="99"/>
    </row>
    <row r="452" spans="2:17" ht="14.4">
      <c r="B452" s="94"/>
      <c r="F452" s="98"/>
      <c r="G452" s="98"/>
      <c r="H452" s="98"/>
      <c r="I452" s="98"/>
      <c r="J452" s="98"/>
      <c r="P452" s="84"/>
      <c r="Q452" s="99"/>
    </row>
    <row r="453" spans="2:17" ht="14.4">
      <c r="B453" s="94"/>
      <c r="F453" s="98"/>
      <c r="G453" s="98"/>
      <c r="H453" s="98"/>
      <c r="I453" s="98"/>
      <c r="J453" s="98"/>
      <c r="P453" s="84"/>
      <c r="Q453" s="99"/>
    </row>
    <row r="454" spans="2:17" ht="14.4">
      <c r="B454" s="94"/>
      <c r="F454" s="98"/>
      <c r="G454" s="98"/>
      <c r="H454" s="98"/>
      <c r="I454" s="98"/>
      <c r="J454" s="98"/>
      <c r="P454" s="84"/>
      <c r="Q454" s="99"/>
    </row>
    <row r="455" spans="2:17" ht="14.4">
      <c r="B455" s="94"/>
      <c r="F455" s="98"/>
      <c r="G455" s="98"/>
      <c r="H455" s="98"/>
      <c r="I455" s="98"/>
      <c r="J455" s="98"/>
      <c r="P455" s="84"/>
      <c r="Q455" s="99"/>
    </row>
    <row r="456" spans="2:17" ht="14.4">
      <c r="B456" s="94"/>
      <c r="F456" s="98"/>
      <c r="G456" s="98"/>
      <c r="H456" s="98"/>
      <c r="I456" s="98"/>
      <c r="J456" s="98"/>
      <c r="P456" s="84"/>
      <c r="Q456" s="99"/>
    </row>
    <row r="457" spans="2:17" ht="14.4">
      <c r="B457" s="94"/>
      <c r="F457" s="98"/>
      <c r="G457" s="98"/>
      <c r="H457" s="98"/>
      <c r="I457" s="98"/>
      <c r="J457" s="98"/>
      <c r="P457" s="84"/>
      <c r="Q457" s="99"/>
    </row>
    <row r="458" spans="2:17" ht="14.4">
      <c r="B458" s="94"/>
      <c r="F458" s="98"/>
      <c r="G458" s="98"/>
      <c r="H458" s="98"/>
      <c r="I458" s="98"/>
      <c r="J458" s="98"/>
      <c r="P458" s="84"/>
      <c r="Q458" s="99"/>
    </row>
    <row r="459" spans="2:17" ht="14.4">
      <c r="B459" s="94"/>
      <c r="F459" s="98"/>
      <c r="G459" s="98"/>
      <c r="H459" s="98"/>
      <c r="I459" s="98"/>
      <c r="J459" s="98"/>
      <c r="P459" s="84"/>
      <c r="Q459" s="99"/>
    </row>
    <row r="460" spans="2:17" ht="14.4">
      <c r="B460" s="94"/>
      <c r="F460" s="98"/>
      <c r="G460" s="98"/>
      <c r="H460" s="98"/>
      <c r="I460" s="98"/>
      <c r="J460" s="98"/>
      <c r="P460" s="84"/>
      <c r="Q460" s="99"/>
    </row>
    <row r="461" spans="2:17" ht="14.4">
      <c r="B461" s="94"/>
      <c r="F461" s="98"/>
      <c r="G461" s="98"/>
      <c r="H461" s="98"/>
      <c r="I461" s="98"/>
      <c r="J461" s="98"/>
      <c r="P461" s="84"/>
      <c r="Q461" s="99"/>
    </row>
    <row r="462" spans="2:17" ht="14.4">
      <c r="B462" s="94"/>
      <c r="F462" s="98"/>
      <c r="G462" s="98"/>
      <c r="H462" s="98"/>
      <c r="I462" s="98"/>
      <c r="J462" s="98"/>
      <c r="P462" s="84"/>
      <c r="Q462" s="99"/>
    </row>
    <row r="463" spans="2:17" ht="14.4">
      <c r="B463" s="94"/>
      <c r="F463" s="98"/>
      <c r="G463" s="98"/>
      <c r="H463" s="98"/>
      <c r="I463" s="98"/>
      <c r="J463" s="98"/>
      <c r="P463" s="84"/>
      <c r="Q463" s="99"/>
    </row>
    <row r="464" spans="2:17" ht="14.4">
      <c r="B464" s="94"/>
      <c r="F464" s="98"/>
      <c r="G464" s="98"/>
      <c r="H464" s="98"/>
      <c r="I464" s="98"/>
      <c r="J464" s="98"/>
      <c r="P464" s="84"/>
      <c r="Q464" s="99"/>
    </row>
    <row r="465" spans="2:17" ht="14.4">
      <c r="B465" s="94"/>
      <c r="F465" s="98"/>
      <c r="G465" s="98"/>
      <c r="H465" s="98"/>
      <c r="I465" s="98"/>
      <c r="J465" s="98"/>
      <c r="P465" s="84"/>
      <c r="Q465" s="99"/>
    </row>
    <row r="466" spans="2:17" ht="14.4">
      <c r="B466" s="94"/>
      <c r="F466" s="98"/>
      <c r="G466" s="98"/>
      <c r="H466" s="98"/>
      <c r="I466" s="98"/>
      <c r="J466" s="98"/>
      <c r="P466" s="84"/>
      <c r="Q466" s="99"/>
    </row>
    <row r="467" spans="2:17" ht="14.4">
      <c r="B467" s="94"/>
      <c r="F467" s="98"/>
      <c r="G467" s="98"/>
      <c r="H467" s="98"/>
      <c r="I467" s="98"/>
      <c r="J467" s="98"/>
      <c r="P467" s="84"/>
      <c r="Q467" s="99"/>
    </row>
    <row r="468" spans="2:17" ht="14.4">
      <c r="B468" s="94"/>
      <c r="F468" s="98"/>
      <c r="G468" s="98"/>
      <c r="H468" s="98"/>
      <c r="I468" s="98"/>
      <c r="J468" s="98"/>
      <c r="P468" s="84"/>
      <c r="Q468" s="99"/>
    </row>
    <row r="469" spans="2:17" ht="14.4">
      <c r="B469" s="94"/>
      <c r="F469" s="98"/>
      <c r="G469" s="98"/>
      <c r="H469" s="98"/>
      <c r="I469" s="98"/>
      <c r="J469" s="98"/>
      <c r="P469" s="84"/>
      <c r="Q469" s="99"/>
    </row>
    <row r="470" spans="2:17" ht="14.4">
      <c r="B470" s="94"/>
      <c r="F470" s="98"/>
      <c r="G470" s="98"/>
      <c r="H470" s="98"/>
      <c r="I470" s="98"/>
      <c r="J470" s="98"/>
      <c r="P470" s="84"/>
      <c r="Q470" s="99"/>
    </row>
    <row r="471" spans="2:17" ht="14.4">
      <c r="B471" s="94"/>
      <c r="F471" s="98"/>
      <c r="G471" s="98"/>
      <c r="H471" s="98"/>
      <c r="I471" s="98"/>
      <c r="J471" s="98"/>
      <c r="P471" s="84"/>
      <c r="Q471" s="99"/>
    </row>
    <row r="472" spans="2:17" ht="14.4">
      <c r="B472" s="94"/>
      <c r="F472" s="98"/>
      <c r="G472" s="98"/>
      <c r="H472" s="98"/>
      <c r="I472" s="98"/>
      <c r="J472" s="98"/>
      <c r="P472" s="84"/>
      <c r="Q472" s="99"/>
    </row>
    <row r="473" spans="2:17" ht="14.4">
      <c r="B473" s="94"/>
      <c r="F473" s="98"/>
      <c r="G473" s="98"/>
      <c r="H473" s="98"/>
      <c r="I473" s="98"/>
      <c r="J473" s="98"/>
      <c r="P473" s="84"/>
      <c r="Q473" s="99"/>
    </row>
    <row r="474" spans="2:17" ht="14.4">
      <c r="B474" s="94"/>
      <c r="F474" s="98"/>
      <c r="G474" s="98"/>
      <c r="H474" s="98"/>
      <c r="I474" s="98"/>
      <c r="J474" s="98"/>
      <c r="P474" s="84"/>
      <c r="Q474" s="99"/>
    </row>
    <row r="475" spans="2:17" ht="14.4">
      <c r="B475" s="94"/>
      <c r="F475" s="98"/>
      <c r="G475" s="98"/>
      <c r="H475" s="98"/>
      <c r="I475" s="98"/>
      <c r="J475" s="98"/>
      <c r="P475" s="84"/>
      <c r="Q475" s="99"/>
    </row>
    <row r="476" spans="2:17" ht="14.4">
      <c r="B476" s="94"/>
      <c r="F476" s="98"/>
      <c r="G476" s="98"/>
      <c r="H476" s="98"/>
      <c r="I476" s="98"/>
      <c r="J476" s="98"/>
      <c r="P476" s="84"/>
      <c r="Q476" s="99"/>
    </row>
    <row r="477" spans="2:17" ht="14.4">
      <c r="B477" s="94"/>
      <c r="F477" s="98"/>
      <c r="G477" s="98"/>
      <c r="H477" s="98"/>
      <c r="I477" s="98"/>
      <c r="J477" s="98"/>
      <c r="P477" s="84"/>
      <c r="Q477" s="99"/>
    </row>
    <row r="478" spans="2:17" ht="14.4">
      <c r="B478" s="94"/>
      <c r="F478" s="98"/>
      <c r="G478" s="98"/>
      <c r="H478" s="98"/>
      <c r="I478" s="98"/>
      <c r="J478" s="98"/>
      <c r="P478" s="84"/>
      <c r="Q478" s="99"/>
    </row>
    <row r="479" spans="2:17" ht="14.4">
      <c r="B479" s="94"/>
      <c r="F479" s="98"/>
      <c r="G479" s="98"/>
      <c r="H479" s="98"/>
      <c r="I479" s="98"/>
      <c r="J479" s="98"/>
      <c r="P479" s="84"/>
      <c r="Q479" s="99"/>
    </row>
    <row r="480" spans="2:17" ht="14.4">
      <c r="B480" s="94"/>
      <c r="F480" s="98"/>
      <c r="G480" s="98"/>
      <c r="H480" s="98"/>
      <c r="I480" s="98"/>
      <c r="J480" s="98"/>
      <c r="P480" s="84"/>
      <c r="Q480" s="99"/>
    </row>
    <row r="481" spans="2:17" ht="14.4">
      <c r="B481" s="94"/>
      <c r="F481" s="98"/>
      <c r="G481" s="98"/>
      <c r="H481" s="98"/>
      <c r="I481" s="98"/>
      <c r="J481" s="98"/>
      <c r="P481" s="84"/>
      <c r="Q481" s="99"/>
    </row>
    <row r="482" spans="2:17" ht="14.4">
      <c r="B482" s="94"/>
      <c r="F482" s="98"/>
      <c r="G482" s="98"/>
      <c r="H482" s="98"/>
      <c r="I482" s="98"/>
      <c r="J482" s="98"/>
      <c r="P482" s="84"/>
      <c r="Q482" s="99"/>
    </row>
    <row r="483" spans="2:17" ht="14.4">
      <c r="B483" s="94"/>
      <c r="F483" s="98"/>
      <c r="G483" s="98"/>
      <c r="H483" s="98"/>
      <c r="I483" s="98"/>
      <c r="J483" s="98"/>
      <c r="P483" s="84"/>
      <c r="Q483" s="99"/>
    </row>
    <row r="484" spans="2:17" ht="14.4">
      <c r="B484" s="94"/>
      <c r="F484" s="98"/>
      <c r="G484" s="98"/>
      <c r="H484" s="98"/>
      <c r="I484" s="98"/>
      <c r="J484" s="98"/>
      <c r="P484" s="84"/>
      <c r="Q484" s="99"/>
    </row>
    <row r="485" spans="2:17" ht="14.4">
      <c r="B485" s="94"/>
      <c r="F485" s="98"/>
      <c r="G485" s="98"/>
      <c r="H485" s="98"/>
      <c r="I485" s="98"/>
      <c r="J485" s="98"/>
      <c r="P485" s="84"/>
      <c r="Q485" s="99"/>
    </row>
    <row r="486" spans="2:17" ht="14.4">
      <c r="B486" s="94"/>
      <c r="F486" s="98"/>
      <c r="G486" s="98"/>
      <c r="H486" s="98"/>
      <c r="I486" s="98"/>
      <c r="J486" s="98"/>
      <c r="P486" s="84"/>
      <c r="Q486" s="99"/>
    </row>
    <row r="487" spans="2:17" ht="14.4">
      <c r="B487" s="94"/>
      <c r="F487" s="98"/>
      <c r="G487" s="98"/>
      <c r="H487" s="98"/>
      <c r="I487" s="98"/>
      <c r="J487" s="98"/>
      <c r="P487" s="84"/>
      <c r="Q487" s="99"/>
    </row>
    <row r="488" spans="2:17" ht="14.4">
      <c r="B488" s="94"/>
      <c r="F488" s="98"/>
      <c r="G488" s="98"/>
      <c r="H488" s="98"/>
      <c r="I488" s="98"/>
      <c r="J488" s="98"/>
      <c r="P488" s="84"/>
      <c r="Q488" s="99"/>
    </row>
    <row r="489" spans="2:17" ht="14.4">
      <c r="B489" s="94"/>
      <c r="F489" s="98"/>
      <c r="G489" s="98"/>
      <c r="H489" s="98"/>
      <c r="I489" s="98"/>
      <c r="J489" s="98"/>
      <c r="P489" s="84"/>
      <c r="Q489" s="99"/>
    </row>
    <row r="490" spans="2:17" ht="14.4">
      <c r="B490" s="94"/>
      <c r="F490" s="98"/>
      <c r="G490" s="98"/>
      <c r="H490" s="98"/>
      <c r="I490" s="98"/>
      <c r="J490" s="98"/>
      <c r="P490" s="84"/>
      <c r="Q490" s="99"/>
    </row>
    <row r="491" spans="2:17" ht="14.4">
      <c r="B491" s="94"/>
      <c r="F491" s="98"/>
      <c r="G491" s="98"/>
      <c r="H491" s="98"/>
      <c r="I491" s="98"/>
      <c r="J491" s="98"/>
      <c r="P491" s="84"/>
      <c r="Q491" s="99"/>
    </row>
    <row r="492" spans="2:17" ht="14.4">
      <c r="B492" s="94"/>
      <c r="F492" s="98"/>
      <c r="G492" s="98"/>
      <c r="H492" s="98"/>
      <c r="I492" s="98"/>
      <c r="J492" s="98"/>
      <c r="P492" s="84"/>
      <c r="Q492" s="99"/>
    </row>
    <row r="493" spans="2:17" ht="14.4">
      <c r="B493" s="94"/>
      <c r="F493" s="98"/>
      <c r="G493" s="98"/>
      <c r="H493" s="98"/>
      <c r="I493" s="98"/>
      <c r="J493" s="98"/>
      <c r="P493" s="84"/>
      <c r="Q493" s="99"/>
    </row>
    <row r="494" spans="2:17" ht="14.4">
      <c r="B494" s="94"/>
      <c r="F494" s="98"/>
      <c r="G494" s="98"/>
      <c r="H494" s="98"/>
      <c r="I494" s="98"/>
      <c r="J494" s="98"/>
      <c r="P494" s="84"/>
      <c r="Q494" s="99"/>
    </row>
    <row r="495" spans="2:17" ht="14.4">
      <c r="B495" s="94"/>
      <c r="F495" s="98"/>
      <c r="G495" s="98"/>
      <c r="H495" s="98"/>
      <c r="I495" s="98"/>
      <c r="J495" s="98"/>
      <c r="P495" s="84"/>
      <c r="Q495" s="99"/>
    </row>
    <row r="496" spans="2:17" ht="14.4">
      <c r="B496" s="94"/>
      <c r="F496" s="98"/>
      <c r="G496" s="98"/>
      <c r="H496" s="98"/>
      <c r="I496" s="98"/>
      <c r="J496" s="98"/>
      <c r="P496" s="84"/>
      <c r="Q496" s="99"/>
    </row>
    <row r="497" spans="2:17" ht="14.4">
      <c r="B497" s="94"/>
      <c r="F497" s="98"/>
      <c r="G497" s="98"/>
      <c r="H497" s="98"/>
      <c r="I497" s="98"/>
      <c r="J497" s="98"/>
      <c r="P497" s="84"/>
      <c r="Q497" s="99"/>
    </row>
    <row r="498" spans="2:17" ht="14.4">
      <c r="B498" s="94"/>
      <c r="F498" s="98"/>
      <c r="G498" s="98"/>
      <c r="H498" s="98"/>
      <c r="I498" s="98"/>
      <c r="J498" s="98"/>
      <c r="P498" s="84"/>
      <c r="Q498" s="99"/>
    </row>
    <row r="499" spans="2:17" ht="14.4">
      <c r="B499" s="94"/>
      <c r="F499" s="98"/>
      <c r="G499" s="98"/>
      <c r="H499" s="98"/>
      <c r="I499" s="98"/>
      <c r="J499" s="98"/>
      <c r="P499" s="84"/>
      <c r="Q499" s="99"/>
    </row>
    <row r="500" spans="2:17" ht="14.4">
      <c r="B500" s="94"/>
      <c r="F500" s="98"/>
      <c r="G500" s="98"/>
      <c r="H500" s="98"/>
      <c r="I500" s="98"/>
      <c r="J500" s="98"/>
      <c r="P500" s="84"/>
      <c r="Q500" s="99"/>
    </row>
    <row r="501" spans="2:17" ht="14.4">
      <c r="B501" s="94"/>
      <c r="F501" s="98"/>
      <c r="G501" s="98"/>
      <c r="H501" s="98"/>
      <c r="I501" s="98"/>
      <c r="J501" s="98"/>
      <c r="P501" s="84"/>
      <c r="Q501" s="99"/>
    </row>
    <row r="502" spans="2:17" ht="14.4">
      <c r="B502" s="94"/>
      <c r="F502" s="98"/>
      <c r="G502" s="98"/>
      <c r="H502" s="98"/>
      <c r="I502" s="98"/>
      <c r="J502" s="98"/>
      <c r="P502" s="84"/>
      <c r="Q502" s="99"/>
    </row>
    <row r="503" spans="2:17" ht="14.4">
      <c r="B503" s="94"/>
      <c r="F503" s="98"/>
      <c r="G503" s="98"/>
      <c r="H503" s="98"/>
      <c r="I503" s="98"/>
      <c r="J503" s="98"/>
      <c r="P503" s="84"/>
      <c r="Q503" s="99"/>
    </row>
    <row r="504" spans="2:17" ht="14.4">
      <c r="B504" s="94"/>
      <c r="F504" s="98"/>
      <c r="G504" s="98"/>
      <c r="H504" s="98"/>
      <c r="I504" s="98"/>
      <c r="J504" s="98"/>
      <c r="P504" s="84"/>
      <c r="Q504" s="99"/>
    </row>
    <row r="505" spans="2:17" ht="14.4">
      <c r="B505" s="94"/>
      <c r="F505" s="98"/>
      <c r="G505" s="98"/>
      <c r="H505" s="98"/>
      <c r="I505" s="98"/>
      <c r="J505" s="98"/>
      <c r="P505" s="84"/>
      <c r="Q505" s="99"/>
    </row>
    <row r="506" spans="2:17" ht="14.4">
      <c r="B506" s="94"/>
      <c r="F506" s="98"/>
      <c r="G506" s="98"/>
      <c r="H506" s="98"/>
      <c r="I506" s="98"/>
      <c r="J506" s="98"/>
      <c r="P506" s="84"/>
      <c r="Q506" s="99"/>
    </row>
    <row r="507" spans="2:17" ht="14.4">
      <c r="B507" s="94"/>
      <c r="F507" s="98"/>
      <c r="G507" s="98"/>
      <c r="H507" s="98"/>
      <c r="I507" s="98"/>
      <c r="J507" s="98"/>
      <c r="P507" s="84"/>
      <c r="Q507" s="99"/>
    </row>
    <row r="508" spans="2:17" ht="14.4">
      <c r="B508" s="94"/>
      <c r="F508" s="98"/>
      <c r="G508" s="98"/>
      <c r="H508" s="98"/>
      <c r="I508" s="98"/>
      <c r="J508" s="98"/>
      <c r="P508" s="84"/>
      <c r="Q508" s="99"/>
    </row>
    <row r="509" spans="2:17" ht="14.4">
      <c r="B509" s="94"/>
      <c r="F509" s="98"/>
      <c r="G509" s="98"/>
      <c r="H509" s="98"/>
      <c r="I509" s="98"/>
      <c r="J509" s="98"/>
      <c r="P509" s="84"/>
      <c r="Q509" s="99"/>
    </row>
    <row r="510" spans="2:17" ht="14.4">
      <c r="B510" s="94"/>
      <c r="F510" s="98"/>
      <c r="G510" s="98"/>
      <c r="H510" s="98"/>
      <c r="I510" s="98"/>
      <c r="J510" s="98"/>
      <c r="P510" s="84"/>
      <c r="Q510" s="99"/>
    </row>
    <row r="511" spans="2:17" ht="14.4">
      <c r="B511" s="94"/>
      <c r="F511" s="98"/>
      <c r="G511" s="98"/>
      <c r="H511" s="98"/>
      <c r="I511" s="98"/>
      <c r="J511" s="98"/>
      <c r="P511" s="84"/>
      <c r="Q511" s="99"/>
    </row>
    <row r="512" spans="2:17" ht="14.4">
      <c r="B512" s="94"/>
      <c r="F512" s="98"/>
      <c r="G512" s="98"/>
      <c r="H512" s="98"/>
      <c r="I512" s="98"/>
      <c r="J512" s="98"/>
      <c r="P512" s="84"/>
      <c r="Q512" s="99"/>
    </row>
    <row r="513" spans="2:17" ht="14.4">
      <c r="B513" s="94"/>
      <c r="F513" s="98"/>
      <c r="G513" s="98"/>
      <c r="H513" s="98"/>
      <c r="I513" s="98"/>
      <c r="J513" s="98"/>
      <c r="P513" s="84"/>
      <c r="Q513" s="99"/>
    </row>
    <row r="514" spans="2:17" ht="14.4">
      <c r="B514" s="94"/>
      <c r="F514" s="98"/>
      <c r="G514" s="98"/>
      <c r="H514" s="98"/>
      <c r="I514" s="98"/>
      <c r="J514" s="98"/>
      <c r="P514" s="84"/>
      <c r="Q514" s="99"/>
    </row>
    <row r="515" spans="2:17" ht="14.4">
      <c r="B515" s="94"/>
      <c r="F515" s="98"/>
      <c r="G515" s="98"/>
      <c r="H515" s="98"/>
      <c r="I515" s="98"/>
      <c r="J515" s="98"/>
      <c r="P515" s="84"/>
      <c r="Q515" s="99"/>
    </row>
    <row r="516" spans="2:17" ht="14.4">
      <c r="B516" s="94"/>
      <c r="F516" s="98"/>
      <c r="G516" s="98"/>
      <c r="H516" s="98"/>
      <c r="I516" s="98"/>
      <c r="J516" s="98"/>
      <c r="P516" s="84"/>
      <c r="Q516" s="99"/>
    </row>
    <row r="517" spans="2:17" ht="14.4">
      <c r="B517" s="94"/>
      <c r="F517" s="98"/>
      <c r="G517" s="98"/>
      <c r="H517" s="98"/>
      <c r="I517" s="98"/>
      <c r="J517" s="98"/>
      <c r="P517" s="84"/>
      <c r="Q517" s="99"/>
    </row>
    <row r="518" spans="2:17" ht="14.4">
      <c r="B518" s="94"/>
      <c r="F518" s="98"/>
      <c r="G518" s="98"/>
      <c r="H518" s="98"/>
      <c r="I518" s="98"/>
      <c r="J518" s="98"/>
      <c r="P518" s="84"/>
      <c r="Q518" s="99"/>
    </row>
    <row r="519" spans="2:17" ht="14.4">
      <c r="B519" s="94"/>
      <c r="F519" s="98"/>
      <c r="G519" s="98"/>
      <c r="H519" s="98"/>
      <c r="I519" s="98"/>
      <c r="J519" s="98"/>
      <c r="P519" s="84"/>
      <c r="Q519" s="99"/>
    </row>
    <row r="520" spans="2:17" ht="14.4">
      <c r="B520" s="94"/>
      <c r="F520" s="98"/>
      <c r="G520" s="98"/>
      <c r="H520" s="98"/>
      <c r="I520" s="98"/>
      <c r="J520" s="98"/>
      <c r="P520" s="84"/>
      <c r="Q520" s="99"/>
    </row>
    <row r="521" spans="2:17" ht="14.4">
      <c r="B521" s="94"/>
      <c r="F521" s="98"/>
      <c r="G521" s="98"/>
      <c r="H521" s="98"/>
      <c r="I521" s="98"/>
      <c r="J521" s="98"/>
      <c r="P521" s="84"/>
      <c r="Q521" s="99"/>
    </row>
    <row r="522" spans="2:17" ht="14.4">
      <c r="B522" s="94"/>
      <c r="F522" s="98"/>
      <c r="G522" s="98"/>
      <c r="H522" s="98"/>
      <c r="I522" s="98"/>
      <c r="J522" s="98"/>
      <c r="P522" s="84"/>
      <c r="Q522" s="99"/>
    </row>
    <row r="523" spans="2:17" ht="14.4">
      <c r="B523" s="94"/>
      <c r="F523" s="98"/>
      <c r="G523" s="98"/>
      <c r="H523" s="98"/>
      <c r="I523" s="98"/>
      <c r="J523" s="98"/>
      <c r="P523" s="84"/>
      <c r="Q523" s="99"/>
    </row>
    <row r="524" spans="2:17" ht="14.4">
      <c r="B524" s="94"/>
      <c r="F524" s="98"/>
      <c r="G524" s="98"/>
      <c r="H524" s="98"/>
      <c r="I524" s="98"/>
      <c r="J524" s="98"/>
      <c r="P524" s="84"/>
      <c r="Q524" s="99"/>
    </row>
    <row r="525" spans="2:17" ht="14.4">
      <c r="B525" s="94"/>
      <c r="F525" s="98"/>
      <c r="G525" s="98"/>
      <c r="H525" s="98"/>
      <c r="I525" s="98"/>
      <c r="J525" s="98"/>
      <c r="P525" s="84"/>
      <c r="Q525" s="99"/>
    </row>
    <row r="526" spans="2:17" ht="14.4">
      <c r="B526" s="94"/>
      <c r="F526" s="98"/>
      <c r="G526" s="98"/>
      <c r="H526" s="98"/>
      <c r="I526" s="98"/>
      <c r="J526" s="98"/>
      <c r="P526" s="84"/>
      <c r="Q526" s="99"/>
    </row>
    <row r="527" spans="2:17" ht="14.4">
      <c r="B527" s="94"/>
      <c r="F527" s="98"/>
      <c r="G527" s="98"/>
      <c r="H527" s="98"/>
      <c r="I527" s="98"/>
      <c r="J527" s="98"/>
      <c r="P527" s="84"/>
      <c r="Q527" s="99"/>
    </row>
    <row r="528" spans="2:17" ht="14.4">
      <c r="B528" s="94"/>
      <c r="F528" s="98"/>
      <c r="G528" s="98"/>
      <c r="H528" s="98"/>
      <c r="I528" s="98"/>
      <c r="J528" s="98"/>
      <c r="P528" s="84"/>
      <c r="Q528" s="99"/>
    </row>
    <row r="529" spans="2:17" ht="14.4">
      <c r="B529" s="94"/>
      <c r="F529" s="98"/>
      <c r="G529" s="98"/>
      <c r="H529" s="98"/>
      <c r="I529" s="98"/>
      <c r="J529" s="98"/>
      <c r="P529" s="84"/>
      <c r="Q529" s="99"/>
    </row>
    <row r="530" spans="2:17" ht="14.4">
      <c r="B530" s="94"/>
      <c r="F530" s="98"/>
      <c r="G530" s="98"/>
      <c r="H530" s="98"/>
      <c r="I530" s="98"/>
      <c r="J530" s="98"/>
      <c r="P530" s="84"/>
      <c r="Q530" s="99"/>
    </row>
    <row r="531" spans="2:17" ht="14.4">
      <c r="B531" s="94"/>
      <c r="F531" s="98"/>
      <c r="G531" s="98"/>
      <c r="H531" s="98"/>
      <c r="I531" s="98"/>
      <c r="J531" s="98"/>
      <c r="P531" s="84"/>
      <c r="Q531" s="99"/>
    </row>
    <row r="532" spans="2:17" ht="14.4">
      <c r="B532" s="94"/>
      <c r="F532" s="98"/>
      <c r="G532" s="98"/>
      <c r="H532" s="98"/>
      <c r="I532" s="98"/>
      <c r="J532" s="98"/>
      <c r="P532" s="84"/>
      <c r="Q532" s="99"/>
    </row>
    <row r="533" spans="2:17" ht="14.4">
      <c r="B533" s="94"/>
      <c r="F533" s="98"/>
      <c r="G533" s="98"/>
      <c r="H533" s="98"/>
      <c r="I533" s="98"/>
      <c r="J533" s="98"/>
      <c r="P533" s="84"/>
      <c r="Q533" s="99"/>
    </row>
    <row r="534" spans="2:17" ht="14.4">
      <c r="B534" s="94"/>
      <c r="F534" s="98"/>
      <c r="G534" s="98"/>
      <c r="H534" s="98"/>
      <c r="I534" s="98"/>
      <c r="J534" s="98"/>
      <c r="P534" s="84"/>
      <c r="Q534" s="99"/>
    </row>
    <row r="535" spans="2:17" ht="14.4">
      <c r="B535" s="94"/>
      <c r="F535" s="98"/>
      <c r="G535" s="98"/>
      <c r="H535" s="98"/>
      <c r="I535" s="98"/>
      <c r="J535" s="98"/>
      <c r="P535" s="84"/>
      <c r="Q535" s="99"/>
    </row>
    <row r="536" spans="2:17" ht="14.4">
      <c r="B536" s="94"/>
      <c r="F536" s="98"/>
      <c r="G536" s="98"/>
      <c r="H536" s="98"/>
      <c r="I536" s="98"/>
      <c r="J536" s="98"/>
      <c r="P536" s="84"/>
      <c r="Q536" s="99"/>
    </row>
    <row r="537" spans="2:17" ht="14.4">
      <c r="B537" s="94"/>
      <c r="F537" s="98"/>
      <c r="G537" s="98"/>
      <c r="H537" s="98"/>
      <c r="I537" s="98"/>
      <c r="J537" s="98"/>
      <c r="P537" s="84"/>
      <c r="Q537" s="99"/>
    </row>
    <row r="538" spans="2:17" ht="14.4">
      <c r="B538" s="94"/>
      <c r="F538" s="98"/>
      <c r="G538" s="98"/>
      <c r="H538" s="98"/>
      <c r="I538" s="98"/>
      <c r="J538" s="98"/>
      <c r="P538" s="84"/>
      <c r="Q538" s="99"/>
    </row>
    <row r="539" spans="2:17" ht="14.4">
      <c r="B539" s="94"/>
      <c r="F539" s="98"/>
      <c r="G539" s="98"/>
      <c r="H539" s="98"/>
      <c r="I539" s="98"/>
      <c r="J539" s="98"/>
      <c r="P539" s="84"/>
      <c r="Q539" s="99"/>
    </row>
    <row r="540" spans="2:17" ht="14.4">
      <c r="B540" s="94"/>
      <c r="F540" s="98"/>
      <c r="G540" s="98"/>
      <c r="H540" s="98"/>
      <c r="I540" s="98"/>
      <c r="J540" s="98"/>
      <c r="P540" s="84"/>
      <c r="Q540" s="99"/>
    </row>
    <row r="541" spans="2:17" ht="14.4">
      <c r="B541" s="94"/>
      <c r="F541" s="98"/>
      <c r="G541" s="98"/>
      <c r="H541" s="98"/>
      <c r="I541" s="98"/>
      <c r="J541" s="98"/>
      <c r="P541" s="84"/>
      <c r="Q541" s="99"/>
    </row>
    <row r="542" spans="2:17" ht="14.4">
      <c r="B542" s="94"/>
      <c r="F542" s="98"/>
      <c r="G542" s="98"/>
      <c r="H542" s="98"/>
      <c r="I542" s="98"/>
      <c r="J542" s="98"/>
      <c r="P542" s="84"/>
      <c r="Q542" s="99"/>
    </row>
    <row r="543" spans="2:17" ht="14.4">
      <c r="B543" s="94"/>
      <c r="F543" s="98"/>
      <c r="G543" s="98"/>
      <c r="H543" s="98"/>
      <c r="I543" s="98"/>
      <c r="J543" s="98"/>
      <c r="P543" s="84"/>
      <c r="Q543" s="99"/>
    </row>
    <row r="544" spans="2:17" ht="14.4">
      <c r="B544" s="94"/>
      <c r="F544" s="98"/>
      <c r="G544" s="98"/>
      <c r="H544" s="98"/>
      <c r="I544" s="98"/>
      <c r="J544" s="98"/>
      <c r="P544" s="84"/>
      <c r="Q544" s="99"/>
    </row>
    <row r="545" spans="2:17" ht="14.4">
      <c r="B545" s="94"/>
      <c r="F545" s="98"/>
      <c r="G545" s="98"/>
      <c r="H545" s="98"/>
      <c r="I545" s="98"/>
      <c r="J545" s="98"/>
      <c r="P545" s="84"/>
      <c r="Q545" s="99"/>
    </row>
    <row r="546" spans="2:17" ht="14.4">
      <c r="B546" s="94"/>
      <c r="F546" s="98"/>
      <c r="G546" s="98"/>
      <c r="H546" s="98"/>
      <c r="I546" s="98"/>
      <c r="J546" s="98"/>
      <c r="P546" s="84"/>
      <c r="Q546" s="99"/>
    </row>
    <row r="547" spans="2:17" ht="14.4">
      <c r="B547" s="94"/>
      <c r="F547" s="98"/>
      <c r="G547" s="98"/>
      <c r="H547" s="98"/>
      <c r="I547" s="98"/>
      <c r="J547" s="98"/>
      <c r="P547" s="84"/>
      <c r="Q547" s="99"/>
    </row>
    <row r="548" spans="2:17" ht="14.4">
      <c r="B548" s="94"/>
      <c r="F548" s="98"/>
      <c r="G548" s="98"/>
      <c r="H548" s="98"/>
      <c r="I548" s="98"/>
      <c r="J548" s="98"/>
      <c r="P548" s="84"/>
      <c r="Q548" s="99"/>
    </row>
    <row r="549" spans="2:17" ht="14.4">
      <c r="B549" s="94"/>
      <c r="F549" s="98"/>
      <c r="G549" s="98"/>
      <c r="H549" s="98"/>
      <c r="I549" s="98"/>
      <c r="J549" s="98"/>
      <c r="P549" s="84"/>
      <c r="Q549" s="99"/>
    </row>
    <row r="550" spans="2:17" ht="14.4">
      <c r="B550" s="94"/>
      <c r="F550" s="98"/>
      <c r="G550" s="98"/>
      <c r="H550" s="98"/>
      <c r="I550" s="98"/>
      <c r="J550" s="98"/>
      <c r="P550" s="84"/>
      <c r="Q550" s="99"/>
    </row>
    <row r="551" spans="2:17" ht="14.4">
      <c r="B551" s="94"/>
      <c r="F551" s="98"/>
      <c r="G551" s="98"/>
      <c r="H551" s="98"/>
      <c r="I551" s="98"/>
      <c r="J551" s="98"/>
      <c r="P551" s="84"/>
      <c r="Q551" s="99"/>
    </row>
    <row r="552" spans="2:17" ht="14.4">
      <c r="B552" s="94"/>
      <c r="F552" s="98"/>
      <c r="G552" s="98"/>
      <c r="H552" s="98"/>
      <c r="I552" s="98"/>
      <c r="J552" s="98"/>
      <c r="P552" s="84"/>
      <c r="Q552" s="99"/>
    </row>
    <row r="553" spans="2:17" ht="14.4">
      <c r="B553" s="94"/>
      <c r="F553" s="98"/>
      <c r="G553" s="98"/>
      <c r="H553" s="98"/>
      <c r="I553" s="98"/>
      <c r="J553" s="98"/>
      <c r="P553" s="84"/>
      <c r="Q553" s="99"/>
    </row>
    <row r="554" spans="2:17" ht="14.4">
      <c r="B554" s="94"/>
      <c r="F554" s="98"/>
      <c r="G554" s="98"/>
      <c r="H554" s="98"/>
      <c r="I554" s="98"/>
      <c r="J554" s="98"/>
      <c r="P554" s="84"/>
      <c r="Q554" s="99"/>
    </row>
    <row r="555" spans="2:17" ht="14.4">
      <c r="B555" s="94"/>
      <c r="F555" s="98"/>
      <c r="G555" s="98"/>
      <c r="H555" s="98"/>
      <c r="I555" s="98"/>
      <c r="J555" s="98"/>
      <c r="P555" s="84"/>
      <c r="Q555" s="99"/>
    </row>
    <row r="556" spans="2:17" ht="14.4">
      <c r="B556" s="94"/>
      <c r="F556" s="98"/>
      <c r="G556" s="98"/>
      <c r="H556" s="98"/>
      <c r="I556" s="98"/>
      <c r="J556" s="98"/>
      <c r="P556" s="84"/>
      <c r="Q556" s="99"/>
    </row>
    <row r="557" spans="2:17" ht="14.4">
      <c r="B557" s="94"/>
      <c r="F557" s="98"/>
      <c r="G557" s="98"/>
      <c r="H557" s="98"/>
      <c r="I557" s="98"/>
      <c r="J557" s="98"/>
      <c r="P557" s="84"/>
      <c r="Q557" s="99"/>
    </row>
    <row r="558" spans="2:17" ht="14.4">
      <c r="B558" s="94"/>
      <c r="F558" s="98"/>
      <c r="G558" s="98"/>
      <c r="H558" s="98"/>
      <c r="I558" s="98"/>
      <c r="J558" s="98"/>
      <c r="P558" s="84"/>
      <c r="Q558" s="99"/>
    </row>
    <row r="559" spans="2:17" ht="14.4">
      <c r="B559" s="94"/>
      <c r="F559" s="98"/>
      <c r="G559" s="98"/>
      <c r="H559" s="98"/>
      <c r="I559" s="98"/>
      <c r="J559" s="98"/>
      <c r="P559" s="84"/>
      <c r="Q559" s="99"/>
    </row>
    <row r="560" spans="2:17" ht="14.4">
      <c r="B560" s="94"/>
      <c r="F560" s="98"/>
      <c r="G560" s="98"/>
      <c r="H560" s="98"/>
      <c r="I560" s="98"/>
      <c r="J560" s="98"/>
      <c r="P560" s="84"/>
      <c r="Q560" s="99"/>
    </row>
    <row r="561" spans="2:17" ht="14.4">
      <c r="B561" s="94"/>
      <c r="F561" s="98"/>
      <c r="G561" s="98"/>
      <c r="H561" s="98"/>
      <c r="I561" s="98"/>
      <c r="J561" s="98"/>
      <c r="P561" s="84"/>
      <c r="Q561" s="99"/>
    </row>
    <row r="562" spans="2:17" ht="14.4">
      <c r="B562" s="94"/>
      <c r="F562" s="98"/>
      <c r="G562" s="98"/>
      <c r="H562" s="98"/>
      <c r="I562" s="98"/>
      <c r="J562" s="98"/>
      <c r="P562" s="84"/>
      <c r="Q562" s="99"/>
    </row>
    <row r="563" spans="2:17" ht="14.4">
      <c r="B563" s="94"/>
      <c r="F563" s="98"/>
      <c r="G563" s="98"/>
      <c r="H563" s="98"/>
      <c r="I563" s="98"/>
      <c r="J563" s="98"/>
      <c r="P563" s="84"/>
      <c r="Q563" s="99"/>
    </row>
    <row r="564" spans="2:17" ht="14.4">
      <c r="B564" s="94"/>
      <c r="F564" s="98"/>
      <c r="G564" s="98"/>
      <c r="H564" s="98"/>
      <c r="I564" s="98"/>
      <c r="J564" s="98"/>
      <c r="P564" s="84"/>
      <c r="Q564" s="99"/>
    </row>
    <row r="565" spans="2:17" ht="14.4">
      <c r="B565" s="94"/>
      <c r="F565" s="98"/>
      <c r="G565" s="98"/>
      <c r="H565" s="98"/>
      <c r="I565" s="98"/>
      <c r="J565" s="98"/>
      <c r="P565" s="84"/>
      <c r="Q565" s="99"/>
    </row>
    <row r="566" spans="2:17" ht="14.4">
      <c r="B566" s="94"/>
      <c r="F566" s="98"/>
      <c r="G566" s="98"/>
      <c r="H566" s="98"/>
      <c r="I566" s="98"/>
      <c r="J566" s="98"/>
      <c r="P566" s="84"/>
      <c r="Q566" s="99"/>
    </row>
    <row r="567" spans="2:17" ht="14.4">
      <c r="B567" s="94"/>
      <c r="F567" s="98"/>
      <c r="G567" s="98"/>
      <c r="H567" s="98"/>
      <c r="I567" s="98"/>
      <c r="J567" s="98"/>
      <c r="P567" s="84"/>
      <c r="Q567" s="99"/>
    </row>
    <row r="568" spans="2:17" ht="14.4">
      <c r="B568" s="94"/>
      <c r="F568" s="98"/>
      <c r="G568" s="98"/>
      <c r="H568" s="98"/>
      <c r="I568" s="98"/>
      <c r="J568" s="98"/>
      <c r="P568" s="84"/>
      <c r="Q568" s="99"/>
    </row>
    <row r="569" spans="2:17" ht="14.4">
      <c r="B569" s="94"/>
      <c r="F569" s="98"/>
      <c r="G569" s="98"/>
      <c r="H569" s="98"/>
      <c r="I569" s="98"/>
      <c r="J569" s="98"/>
      <c r="P569" s="84"/>
      <c r="Q569" s="99"/>
    </row>
    <row r="570" spans="2:17" ht="14.4">
      <c r="B570" s="94"/>
      <c r="F570" s="98"/>
      <c r="G570" s="98"/>
      <c r="H570" s="98"/>
      <c r="I570" s="98"/>
      <c r="J570" s="98"/>
      <c r="P570" s="84"/>
      <c r="Q570" s="99"/>
    </row>
    <row r="571" spans="2:17" ht="14.4">
      <c r="B571" s="94"/>
      <c r="F571" s="98"/>
      <c r="G571" s="98"/>
      <c r="H571" s="98"/>
      <c r="I571" s="98"/>
      <c r="J571" s="98"/>
      <c r="P571" s="84"/>
      <c r="Q571" s="99"/>
    </row>
    <row r="572" spans="2:17" ht="14.4">
      <c r="B572" s="94"/>
      <c r="F572" s="98"/>
      <c r="G572" s="98"/>
      <c r="H572" s="98"/>
      <c r="I572" s="98"/>
      <c r="J572" s="98"/>
      <c r="P572" s="84"/>
      <c r="Q572" s="99"/>
    </row>
    <row r="573" spans="2:17" ht="14.4">
      <c r="B573" s="94"/>
      <c r="F573" s="98"/>
      <c r="G573" s="98"/>
      <c r="H573" s="98"/>
      <c r="I573" s="98"/>
      <c r="J573" s="98"/>
      <c r="P573" s="84"/>
      <c r="Q573" s="99"/>
    </row>
    <row r="574" spans="2:17" ht="14.4">
      <c r="B574" s="94"/>
      <c r="F574" s="98"/>
      <c r="G574" s="98"/>
      <c r="H574" s="98"/>
      <c r="I574" s="98"/>
      <c r="J574" s="98"/>
      <c r="P574" s="84"/>
      <c r="Q574" s="99"/>
    </row>
    <row r="575" spans="2:17" ht="14.4">
      <c r="B575" s="94"/>
      <c r="F575" s="98"/>
      <c r="G575" s="98"/>
      <c r="H575" s="98"/>
      <c r="I575" s="98"/>
      <c r="J575" s="98"/>
      <c r="P575" s="84"/>
      <c r="Q575" s="99"/>
    </row>
    <row r="576" spans="2:17" ht="14.4">
      <c r="B576" s="94"/>
      <c r="F576" s="98"/>
      <c r="G576" s="98"/>
      <c r="H576" s="98"/>
      <c r="I576" s="98"/>
      <c r="J576" s="98"/>
      <c r="P576" s="84"/>
      <c r="Q576" s="99"/>
    </row>
    <row r="577" spans="2:17" ht="14.4">
      <c r="B577" s="94"/>
      <c r="F577" s="98"/>
      <c r="G577" s="98"/>
      <c r="H577" s="98"/>
      <c r="I577" s="98"/>
      <c r="J577" s="98"/>
      <c r="P577" s="84"/>
      <c r="Q577" s="99"/>
    </row>
    <row r="578" spans="2:17" ht="14.4">
      <c r="B578" s="94"/>
      <c r="F578" s="98"/>
      <c r="G578" s="98"/>
      <c r="H578" s="98"/>
      <c r="I578" s="98"/>
      <c r="J578" s="98"/>
      <c r="P578" s="84"/>
      <c r="Q578" s="99"/>
    </row>
    <row r="579" spans="2:17" ht="14.4">
      <c r="B579" s="94"/>
      <c r="F579" s="98"/>
      <c r="G579" s="98"/>
      <c r="H579" s="98"/>
      <c r="I579" s="98"/>
      <c r="J579" s="98"/>
      <c r="P579" s="84"/>
      <c r="Q579" s="99"/>
    </row>
    <row r="580" spans="2:17" ht="14.4">
      <c r="B580" s="94"/>
      <c r="F580" s="98"/>
      <c r="G580" s="98"/>
      <c r="H580" s="98"/>
      <c r="I580" s="98"/>
      <c r="J580" s="98"/>
      <c r="P580" s="84"/>
      <c r="Q580" s="99"/>
    </row>
    <row r="581" spans="2:17" ht="14.4">
      <c r="B581" s="94"/>
      <c r="F581" s="98"/>
      <c r="G581" s="98"/>
      <c r="H581" s="98"/>
      <c r="I581" s="98"/>
      <c r="J581" s="98"/>
      <c r="P581" s="84"/>
      <c r="Q581" s="99"/>
    </row>
    <row r="582" spans="2:17" ht="14.4">
      <c r="B582" s="94"/>
      <c r="F582" s="98"/>
      <c r="G582" s="98"/>
      <c r="H582" s="98"/>
      <c r="I582" s="98"/>
      <c r="J582" s="98"/>
      <c r="P582" s="84"/>
      <c r="Q582" s="99"/>
    </row>
    <row r="583" spans="2:17" ht="14.4">
      <c r="B583" s="94"/>
      <c r="F583" s="98"/>
      <c r="G583" s="98"/>
      <c r="H583" s="98"/>
      <c r="I583" s="98"/>
      <c r="J583" s="98"/>
      <c r="P583" s="84"/>
      <c r="Q583" s="99"/>
    </row>
    <row r="584" spans="2:17" ht="14.4">
      <c r="B584" s="94"/>
      <c r="F584" s="98"/>
      <c r="G584" s="98"/>
      <c r="H584" s="98"/>
      <c r="I584" s="98"/>
      <c r="J584" s="98"/>
      <c r="P584" s="84"/>
      <c r="Q584" s="99"/>
    </row>
    <row r="585" spans="2:17" ht="14.4">
      <c r="B585" s="94"/>
      <c r="F585" s="98"/>
      <c r="G585" s="98"/>
      <c r="H585" s="98"/>
      <c r="I585" s="98"/>
      <c r="J585" s="98"/>
      <c r="P585" s="84"/>
      <c r="Q585" s="99"/>
    </row>
    <row r="586" spans="2:17" ht="14.4">
      <c r="B586" s="94"/>
      <c r="F586" s="98"/>
      <c r="G586" s="98"/>
      <c r="H586" s="98"/>
      <c r="I586" s="98"/>
      <c r="J586" s="98"/>
      <c r="P586" s="84"/>
      <c r="Q586" s="99"/>
    </row>
    <row r="587" spans="2:17" ht="14.4">
      <c r="B587" s="94"/>
      <c r="F587" s="98"/>
      <c r="G587" s="98"/>
      <c r="H587" s="98"/>
      <c r="I587" s="98"/>
      <c r="J587" s="98"/>
      <c r="P587" s="84"/>
      <c r="Q587" s="99"/>
    </row>
    <row r="588" spans="2:17" ht="14.4">
      <c r="B588" s="94"/>
      <c r="F588" s="98"/>
      <c r="G588" s="98"/>
      <c r="H588" s="98"/>
      <c r="I588" s="98"/>
      <c r="J588" s="98"/>
      <c r="P588" s="84"/>
      <c r="Q588" s="99"/>
    </row>
    <row r="589" spans="2:17" ht="14.4">
      <c r="B589" s="94"/>
      <c r="F589" s="98"/>
      <c r="G589" s="98"/>
      <c r="H589" s="98"/>
      <c r="I589" s="98"/>
      <c r="J589" s="98"/>
      <c r="P589" s="84"/>
      <c r="Q589" s="99"/>
    </row>
    <row r="590" spans="2:17" ht="14.4">
      <c r="B590" s="94"/>
      <c r="F590" s="98"/>
      <c r="G590" s="98"/>
      <c r="H590" s="98"/>
      <c r="I590" s="98"/>
      <c r="J590" s="98"/>
      <c r="P590" s="84"/>
      <c r="Q590" s="99"/>
    </row>
    <row r="591" spans="2:17" ht="14.4">
      <c r="B591" s="94"/>
      <c r="F591" s="98"/>
      <c r="G591" s="98"/>
      <c r="H591" s="98"/>
      <c r="I591" s="98"/>
      <c r="J591" s="98"/>
      <c r="P591" s="84"/>
      <c r="Q591" s="99"/>
    </row>
    <row r="592" spans="2:17" ht="14.4">
      <c r="B592" s="94"/>
      <c r="F592" s="98"/>
      <c r="G592" s="98"/>
      <c r="H592" s="98"/>
      <c r="I592" s="98"/>
      <c r="J592" s="98"/>
      <c r="P592" s="84"/>
      <c r="Q592" s="99"/>
    </row>
    <row r="593" spans="2:17" ht="14.4">
      <c r="B593" s="94"/>
      <c r="F593" s="98"/>
      <c r="G593" s="98"/>
      <c r="H593" s="98"/>
      <c r="I593" s="98"/>
      <c r="J593" s="98"/>
      <c r="P593" s="84"/>
      <c r="Q593" s="99"/>
    </row>
    <row r="594" spans="2:17" ht="14.4">
      <c r="B594" s="94"/>
      <c r="F594" s="98"/>
      <c r="G594" s="98"/>
      <c r="H594" s="98"/>
      <c r="I594" s="98"/>
      <c r="J594" s="98"/>
      <c r="P594" s="84"/>
      <c r="Q594" s="99"/>
    </row>
    <row r="595" spans="2:17" ht="14.4">
      <c r="B595" s="94"/>
      <c r="F595" s="98"/>
      <c r="G595" s="98"/>
      <c r="H595" s="98"/>
      <c r="I595" s="98"/>
      <c r="J595" s="98"/>
      <c r="P595" s="84"/>
      <c r="Q595" s="99"/>
    </row>
    <row r="596" spans="2:17" ht="14.4">
      <c r="B596" s="94"/>
      <c r="F596" s="98"/>
      <c r="G596" s="98"/>
      <c r="H596" s="98"/>
      <c r="I596" s="98"/>
      <c r="J596" s="98"/>
      <c r="P596" s="84"/>
      <c r="Q596" s="99"/>
    </row>
    <row r="597" spans="2:17" ht="14.4">
      <c r="B597" s="94"/>
      <c r="F597" s="98"/>
      <c r="G597" s="98"/>
      <c r="H597" s="98"/>
      <c r="I597" s="98"/>
      <c r="J597" s="98"/>
      <c r="P597" s="84"/>
      <c r="Q597" s="99"/>
    </row>
    <row r="598" spans="2:17" ht="14.4">
      <c r="B598" s="94"/>
      <c r="F598" s="98"/>
      <c r="G598" s="98"/>
      <c r="H598" s="98"/>
      <c r="I598" s="98"/>
      <c r="J598" s="98"/>
      <c r="P598" s="84"/>
      <c r="Q598" s="99"/>
    </row>
    <row r="599" spans="2:17" ht="14.4">
      <c r="B599" s="94"/>
      <c r="F599" s="98"/>
      <c r="G599" s="98"/>
      <c r="H599" s="98"/>
      <c r="I599" s="98"/>
      <c r="J599" s="98"/>
      <c r="P599" s="84"/>
      <c r="Q599" s="99"/>
    </row>
    <row r="600" spans="2:17" ht="14.4">
      <c r="B600" s="94"/>
      <c r="F600" s="98"/>
      <c r="G600" s="98"/>
      <c r="H600" s="98"/>
      <c r="I600" s="98"/>
      <c r="J600" s="98"/>
      <c r="P600" s="84"/>
      <c r="Q600" s="99"/>
    </row>
    <row r="601" spans="2:17" ht="14.4">
      <c r="B601" s="94"/>
      <c r="F601" s="98"/>
      <c r="G601" s="98"/>
      <c r="H601" s="98"/>
      <c r="I601" s="98"/>
      <c r="J601" s="98"/>
      <c r="P601" s="84"/>
      <c r="Q601" s="99"/>
    </row>
    <row r="602" spans="2:17" ht="14.4">
      <c r="B602" s="94"/>
      <c r="F602" s="98"/>
      <c r="G602" s="98"/>
      <c r="H602" s="98"/>
      <c r="I602" s="98"/>
      <c r="J602" s="98"/>
      <c r="P602" s="84"/>
      <c r="Q602" s="99"/>
    </row>
    <row r="603" spans="2:17" ht="14.4">
      <c r="B603" s="94"/>
      <c r="F603" s="98"/>
      <c r="G603" s="98"/>
      <c r="H603" s="98"/>
      <c r="I603" s="98"/>
      <c r="J603" s="98"/>
      <c r="P603" s="84"/>
      <c r="Q603" s="99"/>
    </row>
    <row r="604" spans="2:17" ht="14.4">
      <c r="B604" s="94"/>
      <c r="F604" s="98"/>
      <c r="G604" s="98"/>
      <c r="H604" s="98"/>
      <c r="I604" s="98"/>
      <c r="J604" s="98"/>
      <c r="P604" s="84"/>
      <c r="Q604" s="99"/>
    </row>
    <row r="605" spans="2:17" ht="14.4">
      <c r="B605" s="94"/>
      <c r="F605" s="98"/>
      <c r="G605" s="98"/>
      <c r="H605" s="98"/>
      <c r="I605" s="98"/>
      <c r="J605" s="98"/>
      <c r="P605" s="84"/>
      <c r="Q605" s="99"/>
    </row>
    <row r="606" spans="2:17" ht="14.4">
      <c r="B606" s="94"/>
      <c r="F606" s="98"/>
      <c r="G606" s="98"/>
      <c r="H606" s="98"/>
      <c r="I606" s="98"/>
      <c r="J606" s="98"/>
      <c r="P606" s="84"/>
      <c r="Q606" s="99"/>
    </row>
    <row r="607" spans="2:17" ht="14.4">
      <c r="B607" s="94"/>
      <c r="F607" s="98"/>
      <c r="G607" s="98"/>
      <c r="H607" s="98"/>
      <c r="I607" s="98"/>
      <c r="J607" s="98"/>
      <c r="P607" s="84"/>
      <c r="Q607" s="99"/>
    </row>
    <row r="608" spans="2:17" ht="14.4">
      <c r="B608" s="94"/>
      <c r="F608" s="98"/>
      <c r="G608" s="98"/>
      <c r="H608" s="98"/>
      <c r="I608" s="98"/>
      <c r="J608" s="98"/>
      <c r="P608" s="84"/>
      <c r="Q608" s="99"/>
    </row>
    <row r="609" spans="2:17" ht="14.4">
      <c r="B609" s="94"/>
      <c r="F609" s="98"/>
      <c r="G609" s="98"/>
      <c r="H609" s="98"/>
      <c r="I609" s="98"/>
      <c r="J609" s="98"/>
      <c r="P609" s="84"/>
      <c r="Q609" s="99"/>
    </row>
    <row r="610" spans="2:17" ht="14.4">
      <c r="B610" s="94"/>
      <c r="F610" s="98"/>
      <c r="G610" s="98"/>
      <c r="H610" s="98"/>
      <c r="I610" s="98"/>
      <c r="J610" s="98"/>
      <c r="P610" s="84"/>
      <c r="Q610" s="99"/>
    </row>
    <row r="611" spans="2:17" ht="14.4">
      <c r="B611" s="94"/>
      <c r="F611" s="98"/>
      <c r="G611" s="98"/>
      <c r="H611" s="98"/>
      <c r="I611" s="98"/>
      <c r="J611" s="98"/>
      <c r="P611" s="84"/>
      <c r="Q611" s="99"/>
    </row>
    <row r="612" spans="2:17" ht="14.4">
      <c r="B612" s="94"/>
      <c r="F612" s="98"/>
      <c r="G612" s="98"/>
      <c r="H612" s="98"/>
      <c r="I612" s="98"/>
      <c r="J612" s="98"/>
      <c r="P612" s="84"/>
      <c r="Q612" s="99"/>
    </row>
    <row r="613" spans="2:17" ht="14.4">
      <c r="B613" s="94"/>
      <c r="F613" s="98"/>
      <c r="G613" s="98"/>
      <c r="H613" s="98"/>
      <c r="I613" s="98"/>
      <c r="J613" s="98"/>
      <c r="P613" s="84"/>
      <c r="Q613" s="99"/>
    </row>
    <row r="614" spans="2:17" ht="14.4">
      <c r="B614" s="94"/>
      <c r="F614" s="98"/>
      <c r="G614" s="98"/>
      <c r="H614" s="98"/>
      <c r="I614" s="98"/>
      <c r="J614" s="98"/>
      <c r="P614" s="84"/>
      <c r="Q614" s="99"/>
    </row>
    <row r="615" spans="2:17" ht="14.4">
      <c r="B615" s="94"/>
      <c r="F615" s="98"/>
      <c r="G615" s="98"/>
      <c r="H615" s="98"/>
      <c r="I615" s="98"/>
      <c r="J615" s="98"/>
      <c r="P615" s="84"/>
      <c r="Q615" s="99"/>
    </row>
    <row r="616" spans="2:17" ht="14.4">
      <c r="B616" s="94"/>
      <c r="F616" s="98"/>
      <c r="G616" s="98"/>
      <c r="H616" s="98"/>
      <c r="I616" s="98"/>
      <c r="J616" s="98"/>
      <c r="P616" s="84"/>
      <c r="Q616" s="99"/>
    </row>
    <row r="617" spans="2:17" ht="14.4">
      <c r="B617" s="94"/>
      <c r="F617" s="98"/>
      <c r="G617" s="98"/>
      <c r="H617" s="98"/>
      <c r="I617" s="98"/>
      <c r="J617" s="98"/>
      <c r="P617" s="84"/>
      <c r="Q617" s="99"/>
    </row>
    <row r="618" spans="2:17" ht="14.4">
      <c r="B618" s="94"/>
      <c r="F618" s="98"/>
      <c r="G618" s="98"/>
      <c r="H618" s="98"/>
      <c r="I618" s="98"/>
      <c r="J618" s="98"/>
      <c r="P618" s="84"/>
      <c r="Q618" s="99"/>
    </row>
    <row r="619" spans="2:17" ht="14.4">
      <c r="B619" s="94"/>
      <c r="F619" s="98"/>
      <c r="G619" s="98"/>
      <c r="H619" s="98"/>
      <c r="I619" s="98"/>
      <c r="J619" s="98"/>
      <c r="P619" s="84"/>
      <c r="Q619" s="99"/>
    </row>
    <row r="620" spans="2:17" ht="14.4">
      <c r="B620" s="94"/>
      <c r="F620" s="98"/>
      <c r="G620" s="98"/>
      <c r="H620" s="98"/>
      <c r="I620" s="98"/>
      <c r="J620" s="98"/>
      <c r="P620" s="84"/>
      <c r="Q620" s="99"/>
    </row>
    <row r="621" spans="2:17" ht="14.4">
      <c r="B621" s="94"/>
      <c r="F621" s="98"/>
      <c r="G621" s="98"/>
      <c r="H621" s="98"/>
      <c r="I621" s="98"/>
      <c r="J621" s="98"/>
      <c r="P621" s="84"/>
      <c r="Q621" s="99"/>
    </row>
    <row r="622" spans="2:17" ht="14.4">
      <c r="B622" s="94"/>
      <c r="F622" s="98"/>
      <c r="G622" s="98"/>
      <c r="H622" s="98"/>
      <c r="I622" s="98"/>
      <c r="J622" s="98"/>
      <c r="P622" s="84"/>
      <c r="Q622" s="99"/>
    </row>
    <row r="623" spans="2:17" ht="14.4">
      <c r="B623" s="94"/>
      <c r="F623" s="98"/>
      <c r="G623" s="98"/>
      <c r="H623" s="98"/>
      <c r="I623" s="98"/>
      <c r="J623" s="98"/>
      <c r="P623" s="84"/>
      <c r="Q623" s="99"/>
    </row>
    <row r="624" spans="2:17" ht="14.4">
      <c r="B624" s="94"/>
      <c r="F624" s="98"/>
      <c r="G624" s="98"/>
      <c r="H624" s="98"/>
      <c r="I624" s="98"/>
      <c r="J624" s="98"/>
      <c r="P624" s="84"/>
      <c r="Q624" s="99"/>
    </row>
    <row r="625" spans="2:17" ht="14.4">
      <c r="B625" s="94"/>
      <c r="F625" s="98"/>
      <c r="G625" s="98"/>
      <c r="H625" s="98"/>
      <c r="I625" s="98"/>
      <c r="J625" s="98"/>
      <c r="P625" s="84"/>
      <c r="Q625" s="99"/>
    </row>
    <row r="626" spans="2:17" ht="14.4">
      <c r="B626" s="94"/>
      <c r="F626" s="98"/>
      <c r="G626" s="98"/>
      <c r="H626" s="98"/>
      <c r="I626" s="98"/>
      <c r="J626" s="98"/>
      <c r="P626" s="84"/>
      <c r="Q626" s="99"/>
    </row>
    <row r="627" spans="2:17" ht="14.4">
      <c r="B627" s="94"/>
      <c r="F627" s="98"/>
      <c r="G627" s="98"/>
      <c r="H627" s="98"/>
      <c r="I627" s="98"/>
      <c r="J627" s="98"/>
      <c r="P627" s="84"/>
      <c r="Q627" s="99"/>
    </row>
    <row r="628" spans="2:17" ht="14.4">
      <c r="B628" s="94"/>
      <c r="F628" s="98"/>
      <c r="G628" s="98"/>
      <c r="H628" s="98"/>
      <c r="I628" s="98"/>
      <c r="J628" s="98"/>
      <c r="P628" s="84"/>
      <c r="Q628" s="99"/>
    </row>
    <row r="629" spans="2:17" ht="14.4">
      <c r="B629" s="94"/>
      <c r="F629" s="98"/>
      <c r="G629" s="98"/>
      <c r="H629" s="98"/>
      <c r="I629" s="98"/>
      <c r="J629" s="98"/>
      <c r="P629" s="84"/>
      <c r="Q629" s="99"/>
    </row>
    <row r="630" spans="2:17" ht="14.4">
      <c r="B630" s="94"/>
      <c r="F630" s="98"/>
      <c r="G630" s="98"/>
      <c r="H630" s="98"/>
      <c r="I630" s="98"/>
      <c r="J630" s="98"/>
      <c r="P630" s="84"/>
      <c r="Q630" s="99"/>
    </row>
    <row r="631" spans="2:17" ht="14.4">
      <c r="B631" s="94"/>
      <c r="F631" s="98"/>
      <c r="G631" s="98"/>
      <c r="H631" s="98"/>
      <c r="I631" s="98"/>
      <c r="J631" s="98"/>
      <c r="P631" s="84"/>
      <c r="Q631" s="99"/>
    </row>
    <row r="632" spans="2:17" ht="14.4">
      <c r="B632" s="94"/>
      <c r="F632" s="98"/>
      <c r="G632" s="98"/>
      <c r="H632" s="98"/>
      <c r="I632" s="98"/>
      <c r="J632" s="98"/>
      <c r="P632" s="84"/>
      <c r="Q632" s="99"/>
    </row>
    <row r="633" spans="2:17" ht="14.4">
      <c r="B633" s="94"/>
      <c r="F633" s="98"/>
      <c r="G633" s="98"/>
      <c r="H633" s="98"/>
      <c r="I633" s="98"/>
      <c r="J633" s="98"/>
      <c r="P633" s="84"/>
      <c r="Q633" s="99"/>
    </row>
    <row r="634" spans="2:17" ht="14.4">
      <c r="B634" s="94"/>
      <c r="F634" s="98"/>
      <c r="G634" s="98"/>
      <c r="H634" s="98"/>
      <c r="I634" s="98"/>
      <c r="J634" s="98"/>
      <c r="P634" s="84"/>
      <c r="Q634" s="99"/>
    </row>
    <row r="635" spans="2:17" ht="14.4">
      <c r="B635" s="94"/>
      <c r="F635" s="98"/>
      <c r="G635" s="98"/>
      <c r="H635" s="98"/>
      <c r="I635" s="98"/>
      <c r="J635" s="98"/>
      <c r="P635" s="84"/>
      <c r="Q635" s="99"/>
    </row>
    <row r="636" spans="2:17" ht="14.4">
      <c r="B636" s="94"/>
      <c r="F636" s="98"/>
      <c r="G636" s="98"/>
      <c r="H636" s="98"/>
      <c r="I636" s="98"/>
      <c r="J636" s="98"/>
      <c r="P636" s="84"/>
      <c r="Q636" s="99"/>
    </row>
    <row r="637" spans="2:17" ht="14.4">
      <c r="B637" s="94"/>
      <c r="F637" s="98"/>
      <c r="G637" s="98"/>
      <c r="H637" s="98"/>
      <c r="I637" s="98"/>
      <c r="J637" s="98"/>
      <c r="P637" s="84"/>
      <c r="Q637" s="99"/>
    </row>
    <row r="638" spans="2:17" ht="14.4">
      <c r="B638" s="94"/>
      <c r="F638" s="98"/>
      <c r="G638" s="98"/>
      <c r="H638" s="98"/>
      <c r="I638" s="98"/>
      <c r="J638" s="98"/>
      <c r="P638" s="84"/>
      <c r="Q638" s="99"/>
    </row>
    <row r="639" spans="2:17" ht="14.4">
      <c r="B639" s="94"/>
      <c r="F639" s="98"/>
      <c r="G639" s="98"/>
      <c r="H639" s="98"/>
      <c r="I639" s="98"/>
      <c r="J639" s="98"/>
      <c r="P639" s="84"/>
      <c r="Q639" s="99"/>
    </row>
    <row r="640" spans="2:17" ht="14.4">
      <c r="B640" s="94"/>
      <c r="F640" s="98"/>
      <c r="G640" s="98"/>
      <c r="H640" s="98"/>
      <c r="I640" s="98"/>
      <c r="J640" s="98"/>
      <c r="P640" s="84"/>
      <c r="Q640" s="99"/>
    </row>
    <row r="641" spans="2:17" ht="14.4">
      <c r="B641" s="94"/>
      <c r="F641" s="98"/>
      <c r="G641" s="98"/>
      <c r="H641" s="98"/>
      <c r="I641" s="98"/>
      <c r="J641" s="98"/>
      <c r="P641" s="84"/>
      <c r="Q641" s="99"/>
    </row>
    <row r="642" spans="2:17" ht="14.4">
      <c r="B642" s="94"/>
      <c r="F642" s="98"/>
      <c r="G642" s="98"/>
      <c r="H642" s="98"/>
      <c r="I642" s="98"/>
      <c r="J642" s="98"/>
      <c r="P642" s="84"/>
      <c r="Q642" s="99"/>
    </row>
    <row r="643" spans="2:17" ht="14.4">
      <c r="B643" s="94"/>
      <c r="F643" s="98"/>
      <c r="G643" s="98"/>
      <c r="H643" s="98"/>
      <c r="I643" s="98"/>
      <c r="J643" s="98"/>
      <c r="P643" s="84"/>
      <c r="Q643" s="99"/>
    </row>
    <row r="644" spans="2:17" ht="14.4">
      <c r="B644" s="94"/>
      <c r="F644" s="98"/>
      <c r="G644" s="98"/>
      <c r="H644" s="98"/>
      <c r="I644" s="98"/>
      <c r="J644" s="98"/>
      <c r="P644" s="84"/>
      <c r="Q644" s="99"/>
    </row>
    <row r="645" spans="2:17" ht="14.4">
      <c r="B645" s="94"/>
      <c r="F645" s="98"/>
      <c r="G645" s="98"/>
      <c r="H645" s="98"/>
      <c r="I645" s="98"/>
      <c r="J645" s="98"/>
      <c r="P645" s="84"/>
      <c r="Q645" s="99"/>
    </row>
    <row r="646" spans="2:17" ht="14.4">
      <c r="B646" s="94"/>
      <c r="F646" s="98"/>
      <c r="G646" s="98"/>
      <c r="H646" s="98"/>
      <c r="I646" s="98"/>
      <c r="J646" s="98"/>
      <c r="P646" s="84"/>
      <c r="Q646" s="99"/>
    </row>
    <row r="647" spans="2:17" ht="14.4">
      <c r="B647" s="94"/>
      <c r="F647" s="98"/>
      <c r="G647" s="98"/>
      <c r="H647" s="98"/>
      <c r="I647" s="98"/>
      <c r="J647" s="98"/>
      <c r="P647" s="84"/>
      <c r="Q647" s="99"/>
    </row>
    <row r="648" spans="2:17" ht="14.4">
      <c r="B648" s="94"/>
      <c r="F648" s="98"/>
      <c r="G648" s="98"/>
      <c r="H648" s="98"/>
      <c r="I648" s="98"/>
      <c r="J648" s="98"/>
      <c r="P648" s="84"/>
      <c r="Q648" s="99"/>
    </row>
    <row r="649" spans="2:17" ht="14.4">
      <c r="B649" s="94"/>
      <c r="F649" s="98"/>
      <c r="G649" s="98"/>
      <c r="H649" s="98"/>
      <c r="I649" s="98"/>
      <c r="J649" s="98"/>
      <c r="P649" s="84"/>
      <c r="Q649" s="99"/>
    </row>
    <row r="650" spans="2:17" ht="14.4">
      <c r="B650" s="94"/>
      <c r="F650" s="98"/>
      <c r="G650" s="98"/>
      <c r="H650" s="98"/>
      <c r="I650" s="98"/>
      <c r="J650" s="98"/>
      <c r="P650" s="84"/>
      <c r="Q650" s="99"/>
    </row>
    <row r="651" spans="2:17" ht="14.4">
      <c r="B651" s="94"/>
      <c r="F651" s="98"/>
      <c r="G651" s="98"/>
      <c r="H651" s="98"/>
      <c r="I651" s="98"/>
      <c r="J651" s="98"/>
      <c r="P651" s="84"/>
      <c r="Q651" s="99"/>
    </row>
    <row r="652" spans="2:17" ht="14.4">
      <c r="B652" s="94"/>
      <c r="F652" s="98"/>
      <c r="G652" s="98"/>
      <c r="H652" s="98"/>
      <c r="I652" s="98"/>
      <c r="J652" s="98"/>
      <c r="P652" s="84"/>
      <c r="Q652" s="99"/>
    </row>
    <row r="653" spans="2:17" ht="14.4">
      <c r="B653" s="94"/>
      <c r="F653" s="98"/>
      <c r="G653" s="98"/>
      <c r="H653" s="98"/>
      <c r="I653" s="98"/>
      <c r="J653" s="98"/>
      <c r="P653" s="84"/>
      <c r="Q653" s="99"/>
    </row>
    <row r="654" spans="2:17" ht="14.4">
      <c r="B654" s="94"/>
      <c r="F654" s="98"/>
      <c r="G654" s="98"/>
      <c r="H654" s="98"/>
      <c r="I654" s="98"/>
      <c r="J654" s="98"/>
      <c r="P654" s="84"/>
      <c r="Q654" s="99"/>
    </row>
    <row r="655" spans="2:17" ht="14.4">
      <c r="B655" s="94"/>
      <c r="F655" s="98"/>
      <c r="G655" s="98"/>
      <c r="H655" s="98"/>
      <c r="I655" s="98"/>
      <c r="J655" s="98"/>
      <c r="P655" s="84"/>
      <c r="Q655" s="99"/>
    </row>
    <row r="656" spans="2:17" ht="14.4">
      <c r="B656" s="94"/>
      <c r="F656" s="98"/>
      <c r="G656" s="98"/>
      <c r="H656" s="98"/>
      <c r="I656" s="98"/>
      <c r="J656" s="98"/>
      <c r="P656" s="84"/>
      <c r="Q656" s="99"/>
    </row>
    <row r="657" spans="2:17" ht="14.4">
      <c r="B657" s="94"/>
      <c r="F657" s="98"/>
      <c r="G657" s="98"/>
      <c r="H657" s="98"/>
      <c r="I657" s="98"/>
      <c r="J657" s="98"/>
      <c r="P657" s="84"/>
      <c r="Q657" s="99"/>
    </row>
    <row r="658" spans="2:17" ht="14.4">
      <c r="B658" s="94"/>
      <c r="F658" s="98"/>
      <c r="G658" s="98"/>
      <c r="H658" s="98"/>
      <c r="I658" s="98"/>
      <c r="J658" s="98"/>
      <c r="P658" s="84"/>
      <c r="Q658" s="99"/>
    </row>
    <row r="659" spans="2:17" ht="14.4">
      <c r="B659" s="94"/>
      <c r="F659" s="98"/>
      <c r="G659" s="98"/>
      <c r="H659" s="98"/>
      <c r="I659" s="98"/>
      <c r="J659" s="98"/>
      <c r="P659" s="84"/>
      <c r="Q659" s="99"/>
    </row>
    <row r="660" spans="2:17" ht="14.4">
      <c r="B660" s="94"/>
      <c r="F660" s="98"/>
      <c r="G660" s="98"/>
      <c r="H660" s="98"/>
      <c r="I660" s="98"/>
      <c r="J660" s="98"/>
      <c r="P660" s="84"/>
      <c r="Q660" s="99"/>
    </row>
    <row r="661" spans="2:17" ht="14.4">
      <c r="B661" s="94"/>
      <c r="F661" s="98"/>
      <c r="G661" s="98"/>
      <c r="H661" s="98"/>
      <c r="I661" s="98"/>
      <c r="J661" s="98"/>
      <c r="P661" s="84"/>
      <c r="Q661" s="99"/>
    </row>
    <row r="662" spans="2:17" ht="14.4">
      <c r="B662" s="94"/>
      <c r="F662" s="98"/>
      <c r="G662" s="98"/>
      <c r="H662" s="98"/>
      <c r="I662" s="98"/>
      <c r="J662" s="98"/>
      <c r="P662" s="84"/>
      <c r="Q662" s="99"/>
    </row>
    <row r="663" spans="2:17" ht="14.4">
      <c r="B663" s="94"/>
      <c r="F663" s="98"/>
      <c r="G663" s="98"/>
      <c r="H663" s="98"/>
      <c r="I663" s="98"/>
      <c r="J663" s="98"/>
      <c r="P663" s="84"/>
      <c r="Q663" s="99"/>
    </row>
    <row r="664" spans="2:17" ht="14.4">
      <c r="B664" s="94"/>
      <c r="F664" s="98"/>
      <c r="G664" s="98"/>
      <c r="H664" s="98"/>
      <c r="I664" s="98"/>
      <c r="J664" s="98"/>
      <c r="P664" s="84"/>
      <c r="Q664" s="99"/>
    </row>
    <row r="665" spans="2:17" ht="14.4">
      <c r="B665" s="94"/>
      <c r="F665" s="98"/>
      <c r="G665" s="98"/>
      <c r="H665" s="98"/>
      <c r="I665" s="98"/>
      <c r="J665" s="98"/>
      <c r="P665" s="84"/>
      <c r="Q665" s="99"/>
    </row>
  </sheetData>
  <mergeCells count="9">
    <mergeCell ref="D1:E1"/>
    <mergeCell ref="G11:I11"/>
    <mergeCell ref="J11:N11"/>
    <mergeCell ref="A11:A12"/>
    <mergeCell ref="B11:B12"/>
    <mergeCell ref="C11:C12"/>
    <mergeCell ref="D11:D12"/>
    <mergeCell ref="E11:E12"/>
    <mergeCell ref="F11:F12"/>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33"/>
  <sheetViews>
    <sheetView workbookViewId="0">
      <selection activeCell="D6" sqref="D6"/>
    </sheetView>
  </sheetViews>
  <sheetFormatPr defaultColWidth="11" defaultRowHeight="13.8"/>
  <sheetData>
    <row r="3" spans="2:6">
      <c r="C3" s="119" t="e">
        <f>#REF!</f>
        <v>#REF!</v>
      </c>
      <c r="D3" s="118"/>
      <c r="E3" s="119">
        <f>'One year follow-up_Virtual'!G9</f>
        <v>0</v>
      </c>
      <c r="F3" s="118"/>
    </row>
    <row r="4" spans="2:6">
      <c r="C4" s="82" t="s">
        <v>73</v>
      </c>
      <c r="D4" s="82" t="s">
        <v>74</v>
      </c>
    </row>
    <row r="5" spans="2:6">
      <c r="C5" s="118" t="s">
        <v>51</v>
      </c>
      <c r="D5" s="118"/>
      <c r="E5" s="118" t="s">
        <v>72</v>
      </c>
      <c r="F5" s="118"/>
    </row>
    <row r="6" spans="2:6">
      <c r="B6" s="83" t="s">
        <v>67</v>
      </c>
      <c r="C6" s="83"/>
      <c r="D6" s="100" t="e">
        <f>C6/C3</f>
        <v>#REF!</v>
      </c>
      <c r="E6" s="83"/>
      <c r="F6" s="83" t="e">
        <f>E6/E3</f>
        <v>#DIV/0!</v>
      </c>
    </row>
    <row r="7" spans="2:6">
      <c r="B7" s="83" t="s">
        <v>71</v>
      </c>
      <c r="C7" s="83"/>
      <c r="D7" s="100" t="e">
        <f>C7/C3</f>
        <v>#REF!</v>
      </c>
      <c r="E7" s="83"/>
      <c r="F7" s="83" t="e">
        <f>E7/E3</f>
        <v>#DIV/0!</v>
      </c>
    </row>
    <row r="8" spans="2:6">
      <c r="B8" s="83" t="s">
        <v>68</v>
      </c>
      <c r="C8" s="83"/>
      <c r="D8" s="100" t="e">
        <f>C8/C3</f>
        <v>#REF!</v>
      </c>
      <c r="E8" s="83"/>
      <c r="F8" s="83" t="e">
        <f>E8/E3</f>
        <v>#DIV/0!</v>
      </c>
    </row>
    <row r="26" spans="2:6">
      <c r="C26" s="119" t="e">
        <f>#REF!</f>
        <v>#REF!</v>
      </c>
      <c r="D26" s="118"/>
      <c r="E26" s="119">
        <f>'One year follow-up_Virtual'!G9</f>
        <v>0</v>
      </c>
      <c r="F26" s="118"/>
    </row>
    <row r="27" spans="2:6">
      <c r="C27" s="82" t="s">
        <v>73</v>
      </c>
      <c r="D27" s="82" t="s">
        <v>74</v>
      </c>
    </row>
    <row r="28" spans="2:6">
      <c r="C28" s="118" t="s">
        <v>51</v>
      </c>
      <c r="D28" s="118"/>
      <c r="E28" s="118" t="s">
        <v>72</v>
      </c>
      <c r="F28" s="118"/>
    </row>
    <row r="29" spans="2:6">
      <c r="B29" s="83" t="s">
        <v>75</v>
      </c>
      <c r="C29" s="83"/>
      <c r="D29" s="100" t="e">
        <f>C29/C26</f>
        <v>#REF!</v>
      </c>
      <c r="E29" s="83"/>
      <c r="F29" s="83" t="e">
        <f>E29/E26</f>
        <v>#DIV/0!</v>
      </c>
    </row>
    <row r="30" spans="2:6">
      <c r="B30" s="83" t="s">
        <v>76</v>
      </c>
      <c r="C30" s="83"/>
      <c r="D30" s="100" t="e">
        <f>C30/C26</f>
        <v>#REF!</v>
      </c>
      <c r="E30" s="83"/>
      <c r="F30" s="83" t="e">
        <f>E30/E26</f>
        <v>#DIV/0!</v>
      </c>
    </row>
    <row r="31" spans="2:6">
      <c r="B31" s="83" t="s">
        <v>77</v>
      </c>
      <c r="C31" s="83"/>
      <c r="D31" s="100" t="e">
        <f>C31/C26</f>
        <v>#REF!</v>
      </c>
      <c r="E31" s="83"/>
      <c r="F31" s="83" t="e">
        <f>E31/E26</f>
        <v>#DIV/0!</v>
      </c>
    </row>
    <row r="32" spans="2:6">
      <c r="B32" s="83" t="s">
        <v>78</v>
      </c>
      <c r="C32" s="83"/>
      <c r="D32" s="100" t="e">
        <f>C32/C26</f>
        <v>#REF!</v>
      </c>
      <c r="E32" s="83"/>
      <c r="F32" s="83" t="e">
        <f>E32/E26</f>
        <v>#DIV/0!</v>
      </c>
    </row>
    <row r="33" spans="2:6">
      <c r="B33" s="83" t="s">
        <v>79</v>
      </c>
      <c r="C33" s="83"/>
      <c r="D33" s="83" t="e">
        <f>C33/C26</f>
        <v>#REF!</v>
      </c>
      <c r="E33" s="83"/>
      <c r="F33" s="83" t="e">
        <f>E33/E26</f>
        <v>#DIV/0!</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F33"/>
  <sheetViews>
    <sheetView workbookViewId="0"/>
  </sheetViews>
  <sheetFormatPr defaultColWidth="11" defaultRowHeight="13.8"/>
  <sheetData>
    <row r="3" spans="2:6">
      <c r="C3" s="120">
        <f>'six months follow-up_in person'!H24</f>
        <v>161</v>
      </c>
      <c r="D3" s="13"/>
      <c r="E3" s="120">
        <f>'One year follow-up_inperson'!H19</f>
        <v>0</v>
      </c>
      <c r="F3" s="13"/>
    </row>
    <row r="4" spans="2:6">
      <c r="C4" t="s">
        <v>73</v>
      </c>
      <c r="D4" t="s">
        <v>74</v>
      </c>
    </row>
    <row r="5" spans="2:6">
      <c r="C5" s="13" t="s">
        <v>51</v>
      </c>
      <c r="D5" s="13"/>
      <c r="E5" s="13" t="s">
        <v>72</v>
      </c>
      <c r="F5" s="13"/>
    </row>
    <row r="6" spans="2:6">
      <c r="B6" s="63" t="s">
        <v>67</v>
      </c>
      <c r="C6" s="63"/>
      <c r="D6" s="77">
        <f>C6/C3</f>
        <v>0</v>
      </c>
      <c r="E6" s="63"/>
      <c r="F6" s="63" t="e">
        <f>E6/E3</f>
        <v>#DIV/0!</v>
      </c>
    </row>
    <row r="7" spans="2:6">
      <c r="B7" s="63" t="s">
        <v>71</v>
      </c>
      <c r="C7" s="63"/>
      <c r="D7" s="77">
        <f>C7/C3</f>
        <v>0</v>
      </c>
      <c r="E7" s="63"/>
      <c r="F7" s="63" t="e">
        <f>E7/E3</f>
        <v>#DIV/0!</v>
      </c>
    </row>
    <row r="8" spans="2:6">
      <c r="B8" s="63" t="s">
        <v>68</v>
      </c>
      <c r="C8" s="63"/>
      <c r="D8" s="77">
        <f>C8/C3</f>
        <v>0</v>
      </c>
      <c r="E8" s="63"/>
      <c r="F8" s="63" t="e">
        <f>E8/E3</f>
        <v>#DIV/0!</v>
      </c>
    </row>
    <row r="26" spans="2:6">
      <c r="C26" s="120">
        <f>'six months follow-up_in person'!H24</f>
        <v>161</v>
      </c>
      <c r="D26" s="13"/>
      <c r="E26" s="120">
        <f>'One year follow-up_inperson'!H19</f>
        <v>0</v>
      </c>
      <c r="F26" s="13"/>
    </row>
    <row r="27" spans="2:6">
      <c r="C27" t="s">
        <v>73</v>
      </c>
      <c r="D27" t="s">
        <v>74</v>
      </c>
    </row>
    <row r="28" spans="2:6">
      <c r="C28" s="13" t="s">
        <v>51</v>
      </c>
      <c r="D28" s="13"/>
      <c r="E28" s="13" t="s">
        <v>72</v>
      </c>
      <c r="F28" s="13"/>
    </row>
    <row r="29" spans="2:6">
      <c r="B29" s="63" t="s">
        <v>75</v>
      </c>
      <c r="C29" s="63"/>
      <c r="D29" s="77">
        <f>C29/C26</f>
        <v>0</v>
      </c>
      <c r="E29" s="63"/>
      <c r="F29" s="63" t="e">
        <f>E29/E26</f>
        <v>#DIV/0!</v>
      </c>
    </row>
    <row r="30" spans="2:6">
      <c r="B30" s="63" t="s">
        <v>76</v>
      </c>
      <c r="C30" s="63"/>
      <c r="D30" s="77">
        <f>C30/C26</f>
        <v>0</v>
      </c>
      <c r="E30" s="63"/>
      <c r="F30" s="63" t="e">
        <f>E30/E26</f>
        <v>#DIV/0!</v>
      </c>
    </row>
    <row r="31" spans="2:6">
      <c r="B31" s="63" t="s">
        <v>77</v>
      </c>
      <c r="C31" s="63"/>
      <c r="D31" s="77">
        <f>C31/C26</f>
        <v>0</v>
      </c>
      <c r="E31" s="63"/>
      <c r="F31" s="63" t="e">
        <f>E31/E26</f>
        <v>#DIV/0!</v>
      </c>
    </row>
    <row r="32" spans="2:6">
      <c r="B32" s="63" t="s">
        <v>78</v>
      </c>
      <c r="C32" s="63"/>
      <c r="D32" s="77">
        <f>C32/C26</f>
        <v>0</v>
      </c>
      <c r="E32" s="63"/>
      <c r="F32" s="63" t="e">
        <f>E32/E26</f>
        <v>#DIV/0!</v>
      </c>
    </row>
    <row r="33" spans="2:6">
      <c r="B33" s="63" t="s">
        <v>79</v>
      </c>
      <c r="C33" s="63"/>
      <c r="D33" s="63">
        <f>C33/C26</f>
        <v>0</v>
      </c>
      <c r="E33" s="63"/>
      <c r="F33" s="63" t="e">
        <f>E33/E26</f>
        <v>#DIV/0!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Follow-up questions</vt:lpstr>
      <vt:lpstr>Dashboard</vt:lpstr>
      <vt:lpstr>One year follow-up_inperson</vt:lpstr>
      <vt:lpstr>six months follow-up_in person</vt:lpstr>
      <vt:lpstr> Analysis_Stats_in person</vt:lpstr>
      <vt:lpstr>Comparisons</vt:lpstr>
      <vt:lpstr>One year follow-up_Virtual</vt:lpstr>
      <vt:lpstr>Analysis_Charts Virtual</vt:lpstr>
      <vt:lpstr>Analysis_Charts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Clarisse</dc:creator>
  <cp:lastModifiedBy>Admin Resonate</cp:lastModifiedBy>
  <dcterms:created xsi:type="dcterms:W3CDTF">2018-02-19T11:30:13Z</dcterms:created>
  <dcterms:modified xsi:type="dcterms:W3CDTF">2023-10-29T12:24:36Z</dcterms:modified>
</cp:coreProperties>
</file>