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<sst xmlns="http://schemas.openxmlformats.org/spreadsheetml/2006/main" count="5566" uniqueCount="968">
  <si>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</si>
  <si>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</si>
  <si>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</si>
  <si>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</si>
  <si>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</si>
  <si>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</si>
  <si>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</si>
  <si>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</si>
  <si>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</si>
  <si>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</si>
  <si>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</si>
  <si>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</si>
  <si>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</si>
  <si>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</si>
  <si>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</si>
  <si>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</si>
  <si>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</si>
  <si>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</si>
  <si>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</si>
  <si>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</si>
  <si>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</si>
  <si>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</si>
  <si>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</si>
  <si>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</si>
  <si>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</si>
  <si>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</si>
  <si>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</si>
  <si>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</si>
  <si>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</si>
  <si>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</si>
  <si>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</si>
  <si>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</si>
  <si>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</si>
  <si>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</si>
  <si>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</si>
  <si>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</si>
  <si>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</si>
  <si>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</si>
  <si>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</si>
  <si>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</si>
  <si>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</si>
  <si>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</si>
  <si>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</si>
  <si>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</si>
  <si>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</si>
  <si>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</si>
  <si>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</si>
  <si>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</si>
  <si>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</si>
  <si>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</si>
  <si>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</si>
  <si>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</si>
  <si>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</si>
  <si>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</si>
  <si>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</si>
  <si>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</si>
  <si>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</si>
  <si>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</si>
  <si>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</si>
  <si>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</si>
  <si>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</si>
  <si>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</si>
  <si>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</si>
  <si>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</si>
  <si>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</si>
  <si>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</si>
  <si>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</si>
  <si>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</si>
  <si>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</si>
  <si>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</si>
  <si>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</si>
  <si>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</si>
  <si>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</si>
  <si>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</si>
  <si>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</si>
  <si>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</si>
  <si>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</si>
  <si>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</si>
  <si>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</si>
  <si>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</si>
  <si>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</si>
  <si>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</si>
  <si>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</si>
  <si>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</si>
  <si>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</si>
  <si>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</si>
  <si>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</si>
  <si>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</si>
  <si>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</si>
  <si>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</si>
  <si>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</si>
  <si>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</si>
  <si>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</si>
  <si>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</si>
  <si>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</si>
  <si>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</si>
  <si>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</si>
  <si>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</si>
  <si>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</si>
  <si>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</si>
  <si>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</si>
  <si>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</si>
  <si>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</si>
  <si>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</si>
  <si>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</si>
  <si>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</si>
  <si>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</si>
  <si>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</si>
  <si>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</si>
  <si>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</si>
  <si>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</si>
  <si>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</si>
  <si>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</si>
  <si>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</si>
  <si>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</si>
  <si>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</si>
  <si>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</si>
  <si>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</si>
  <si>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</si>
  <si>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</si>
  <si>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</si>
  <si>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</si>
  <si>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</si>
  <si>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</si>
  <si>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</si>
  <si>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</si>
  <si>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</si>
  <si>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</si>
  <si>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</si>
  <si>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</si>
  <si>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</si>
  <si>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</si>
  <si>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</si>
  <si>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</si>
  <si>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</si>
  <si>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</si>
  <si>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</si>
  <si>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</si>
  <si>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</si>
  <si>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</si>
  <si>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</si>
  <si>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</si>
  <si>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</si>
  <si>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</si>
  <si>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</si>
  <si>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</si>
  <si>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</si>
  <si>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</si>
  <si>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</si>
  <si>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</si>
  <si>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</si>
  <si>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</si>
  <si>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</si>
  <si>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</si>
  <si>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</si>
  <si>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</si>
  <si>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</si>
  <si>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</si>
  <si>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</si>
  <si>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</si>
  <si>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</si>
  <si>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</si>
  <si>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</si>
  <si>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</si>
  <si>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</si>
  <si>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</si>
  <si>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</si>
  <si>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</si>
  <si>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</si>
  <si>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</si>
  <si>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</si>
  <si>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</si>
  <si>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</si>
  <si>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</si>
  <si>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</si>
  <si>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</si>
  <si>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</si>
  <si>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</si>
  <si>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</si>
  <si>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</si>
  <si>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</si>
  <si>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</si>
  <si>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</si>
  <si>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</si>
  <si>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</si>
  <si>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</si>
  <si>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</si>
  <si>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</si>
  <si>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</si>
  <si>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</si>
  <si>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</si>
  <si>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</si>
  <si>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</si>
  <si>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</si>
  <si>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</si>
  <si>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</si>
  <si>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</si>
  <si>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</si>
  <si>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</si>
  <si>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</si>
  <si>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</si>
  <si>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</si>
  <si>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</si>
  <si>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</si>
  <si>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</si>
  <si>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</si>
  <si>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</si>
  <si>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</si>
  <si>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</si>
  <si>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</si>
  <si>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</si>
  <si>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</si>
  <si>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</si>
  <si>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</si>
  <si>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</si>
  <si>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</si>
  <si>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</si>
  <si>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</si>
  <si>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</si>
  <si>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</si>
  <si>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</si>
  <si>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</si>
  <si>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</si>
  <si>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</si>
  <si>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</si>
  <si>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</si>
  <si>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</si>
  <si>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</si>
  <si>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</si>
  <si>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</si>
  <si>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</si>
  <si>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</si>
  <si>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</si>
  <si>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</si>
  <si>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</si>
  <si>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</si>
  <si>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</si>
  <si>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</si>
  <si>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</si>
  <si>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</si>
  <si>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</si>
  <si>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</si>
  <si>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</si>
  <si>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</si>
  <si>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</si>
  <si>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</si>
  <si>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</si>
  <si>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</si>
  <si>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</si>
  <si>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</si>
  <si>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</si>
  <si>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</si>
  <si>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</si>
  <si>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</si>
  <si>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</si>
  <si>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</si>
  <si>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</si>
  <si>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</si>
  <si>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</si>
  <si>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</si>
  <si>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</si>
  <si>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</si>
  <si>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</si>
  <si>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</si>
  <si>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</si>
  <si>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</si>
  <si>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</si>
  <si>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</si>
  <si>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</si>
  <si>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</si>
  <si>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</si>
  <si>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</si>
  <si>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</si>
  <si>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</si>
  <si>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</si>
  <si>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</si>
  <si>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</si>
  <si>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</si>
  <si>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</si>
  <si>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</si>
  <si>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</si>
  <si>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</si>
  <si>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</si>
  <si>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</si>
  <si>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</si>
  <si>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</si>
  <si>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</si>
  <si>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</si>
  <si>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</si>
  <si>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</si>
  <si>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</si>
  <si>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</si>
  <si>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</si>
  <si>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</si>
  <si>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</si>
  <si>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</si>
  <si>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</si>
  <si>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</si>
  <si>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</si>
  <si>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</si>
  <si>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</si>
  <si>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</si>
  <si>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</si>
  <si>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</si>
  <si>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</si>
  <si>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</si>
  <si>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</si>
  <si>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</si>
  <si>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</si>
  <si>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</si>
  <si>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</si>
  <si>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</si>
  <si>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</si>
  <si>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</si>
  <si>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</si>
  <si>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</si>
  <si>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</si>
  <si>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</si>
  <si>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</si>
  <si>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</si>
  <si>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</si>
  <si>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</si>
  <si>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</si>
  <si>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</si>
  <si>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</si>
  <si>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</si>
  <si>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</si>
  <si>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</si>
  <si>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</si>
  <si>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</si>
  <si>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</si>
  <si>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</si>
  <si>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</si>
  <si>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</si>
  <si>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</si>
  <si>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</si>
  <si>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</si>
  <si>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</si>
  <si>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</si>
  <si>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</si>
  <si>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</si>
  <si>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</si>
  <si>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</si>
  <si>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</si>
  <si>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</si>
  <si>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</si>
  <si>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</si>
  <si>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</si>
  <si>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</si>
  <si>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</si>
  <si>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</si>
  <si>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</si>
  <si>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</si>
  <si>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</si>
  <si>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</si>
  <si>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</si>
  <si>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</si>
  <si>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</si>
  <si>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</si>
  <si>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</si>
  <si>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</si>
  <si>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</si>
  <si>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</si>
  <si>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</si>
  <si>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</si>
  <si>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</si>
  <si>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</si>
  <si>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</si>
  <si>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</si>
  <si>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</si>
  <si>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</si>
  <si>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</si>
  <si>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</si>
  <si>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</si>
  <si>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</si>
  <si>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</si>
  <si>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</si>
  <si>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</si>
  <si>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</si>
  <si>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</si>
  <si>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</si>
  <si>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</si>
  <si>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</si>
  <si>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</si>
  <si>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</si>
  <si>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</si>
  <si>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</si>
  <si>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</si>
  <si>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</si>
  <si>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</si>
  <si>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</si>
  <si>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</si>
  <si>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</si>
  <si>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</si>
  <si>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</si>
  <si>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</si>
  <si>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</si>
  <si>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</si>
  <si>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</si>
  <si>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</si>
  <si>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</si>
  <si>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</si>
  <si>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</si>
  <si>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</si>
  <si>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</si>
  <si>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</si>
  <si>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</si>
  <si>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</si>
  <si>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</si>
  <si>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</si>
  <si>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</si>
  <si>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</si>
  <si>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</si>
  <si>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</si>
  <si>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</si>
  <si>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</si>
  <si>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</si>
  <si>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</si>
  <si>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</si>
  <si>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</si>
  <si>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</si>
  <si>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</si>
  <si>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</si>
  <si>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</si>
  <si>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</si>
  <si>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</si>
  <si>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</si>
  <si>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</si>
  <si>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</si>
  <si>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</si>
  <si>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</si>
  <si>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</si>
  <si>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</si>
  <si>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</si>
  <si>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</si>
  <si>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</si>
  <si>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</si>
  <si>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</si>
  <si>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</si>
  <si>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</si>
  <si>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</si>
  <si>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</si>
  <si>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</si>
  <si>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</si>
  <si>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</si>
  <si>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</si>
  <si>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</si>
  <si>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</si>
  <si>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</si>
  <si>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</si>
  <si>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</si>
  <si>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</si>
  <si>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</si>
  <si>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</si>
  <si>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</si>
  <si>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</si>
  <si>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</si>
  <si>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</si>
  <si>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</si>
  <si>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</si>
  <si>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</si>
  <si>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</si>
  <si>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</si>
  <si>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</si>
  <si>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</si>
  <si>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</si>
  <si>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</si>
  <si>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</si>
  <si>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</si>
  <si>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</si>
  <si>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</si>
  <si>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</si>
  <si>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</si>
  <si>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</si>
  <si>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</si>
  <si>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</si>
  <si>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</si>
  <si>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</si>
  <si>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</si>
  <si>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</si>
  <si>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</si>
  <si>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</si>
  <si>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</si>
  <si>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</si>
  <si>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</si>
  <si>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</si>
  <si>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</si>
  <si>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</si>
  <si>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</si>
  <si>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</si>
  <si>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</si>
  <si>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</si>
  <si>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</si>
  <si>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</si>
  <si>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</si>
  <si>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</si>
  <si>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</si>
  <si>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</si>
  <si>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</si>
  <si>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</si>
  <si>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</si>
  <si>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</si>
  <si>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</si>
  <si>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</si>
  <si>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</si>
  <si>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</si>
  <si>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</si>
  <si>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</si>
  <si>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</si>
  <si>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</si>
  <si>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</si>
  <si>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</si>
  <si>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</si>
  <si>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</si>
  <si>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</si>
  <si>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</si>
  <si>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</si>
  <si>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</si>
  <si>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</si>
  <si>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</si>
  <si>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</si>
  <si>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</si>
  <si>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</si>
  <si>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</si>
  <si>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</si>
  <si>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</si>
  <si>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</si>
  <si>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</si>
  <si>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</si>
  <si>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</si>
  <si>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</si>
  <si>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</si>
  <si>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</si>
  <si>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</si>
  <si>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</si>
  <si>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</si>
  <si>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</si>
  <si>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</si>
  <si>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</si>
  <si>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</si>
  <si>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</si>
  <si>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</si>
  <si>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</si>
  <si>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</si>
  <si>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</si>
  <si>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</si>
  <si>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</si>
  <si>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</si>
  <si>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</si>
  <si>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</si>
  <si>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</si>
  <si>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</si>
  <si>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</si>
  <si>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</si>
  <si>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</si>
  <si>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</si>
  <si>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</si>
  <si>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</si>
  <si>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</si>
  <si>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</si>
  <si>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</si>
  <si>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</si>
  <si>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</si>
  <si>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</si>
  <si>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</si>
  <si>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</si>
  <si>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</si>
  <si>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</si>
  <si>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</si>
  <si>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</si>
  <si>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</si>
  <si>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</si>
  <si>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</si>
  <si>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</si>
  <si>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</si>
  <si>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</si>
  <si>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</si>
  <si>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</si>
  <si>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</si>
  <si>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</si>
  <si>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</si>
  <si>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</si>
  <si>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</si>
  <si>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</si>
  <si>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</si>
  <si>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</si>
  <si>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</si>
  <si>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</si>
  <si>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</si>
  <si>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</si>
  <si>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</si>
  <si>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</si>
  <si>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</si>
  <si>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</si>
  <si>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</si>
  <si>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</si>
  <si>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</si>
  <si>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</si>
  <si>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</si>
  <si>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</si>
  <si>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</si>
  <si>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</si>
  <si>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</si>
  <si>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</si>
  <si>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</si>
  <si>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</si>
  <si>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</si>
  <si>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</si>
  <si>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</si>
  <si>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</si>
  <si>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</si>
  <si>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</si>
  <si>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</si>
  <si>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</si>
  <si>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</si>
  <si>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</si>
  <si>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</si>
  <si>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</si>
  <si>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</si>
  <si>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</si>
  <si>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</si>
  <si>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</si>
  <si>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</si>
  <si>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</si>
  <si>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</si>
  <si>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</si>
  <si>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</si>
  <si>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</si>
  <si>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</si>
  <si>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</si>
  <si>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</si>
  <si>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</si>
  <si>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</si>
  <si>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</si>
  <si>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</si>
  <si>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</si>
  <si>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</si>
  <si>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</si>
  <si>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</si>
  <si>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</si>
  <si>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</si>
  <si>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</si>
  <si>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</si>
  <si>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</si>
  <si>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</si>
  <si>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</si>
  <si>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</si>
  <si>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</si>
  <si>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</si>
  <si>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</si>
  <si>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</si>
  <si>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</si>
  <si>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</si>
  <si>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</si>
  <si>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</si>
  <si>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</si>
  <si>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</si>
  <si>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</si>
  <si>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</si>
  <si>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</si>
  <si>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</si>
  <si>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</si>
  <si>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</si>
  <si>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</si>
  <si>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</si>
  <si>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</si>
  <si>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</si>
  <si>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</si>
  <si>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</si>
  <si>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</si>
  <si>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</si>
  <si>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</si>
  <si>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</si>
  <si>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</si>
  <si>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</si>
  <si>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</si>
  <si>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</si>
  <si>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</si>
  <si>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</si>
  <si>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</si>
  <si>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</si>
  <si>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</si>
  <si>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</si>
  <si>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</si>
  <si>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</si>
  <si>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</si>
  <si>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</si>
  <si>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</si>
  <si>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</si>
  <si>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</si>
  <si>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</si>
  <si>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</si>
  <si>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</si>
  <si>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</si>
  <si>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</si>
  <si>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</si>
  <si>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</si>
  <si>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</si>
  <si>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</si>
  <si>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</si>
  <si>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</si>
  <si>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</si>
  <si>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</si>
  <si>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</si>
  <si>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</si>
  <si>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</si>
  <si>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</si>
  <si>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</si>
  <si>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</si>
  <si>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</si>
  <si>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</si>
  <si>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</si>
  <si>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</si>
  <si>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</si>
  <si>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</si>
  <si>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</si>
  <si>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</si>
  <si>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</si>
  <si>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</si>
  <si>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</si>
  <si>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</si>
  <si>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</si>
  <si>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</si>
  <si>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</si>
  <si>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</si>
  <si>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</si>
  <si>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</si>
  <si>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</si>
  <si>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</si>
  <si>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</si>
  <si>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</si>
  <si>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</si>
  <si>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</si>
  <si>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</si>
  <si>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</si>
  <si>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</si>
  <si>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</si>
  <si>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</si>
  <si>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</si>
  <si>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</si>
  <si>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</si>
  <si>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</si>
  <si>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</si>
  <si>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</si>
  <si>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</si>
  <si>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</si>
  <si>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</si>
  <si>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</si>
  <si>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</si>
  <si>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</si>
  <si>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</si>
  <si>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</si>
  <si>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</si>
  <si>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</si>
  <si>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</si>
  <si>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</si>
  <si>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</si>
  <si>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</si>
  <si>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</si>
  <si>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</si>
  <si>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</si>
  <si>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</si>
  <si>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</si>
  <si>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</si>
  <si>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</si>
  <si>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</si>
  <si>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</si>
  <si>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</si>
  <si>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</si>
  <si>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</si>
  <si>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</si>
  <si>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</si>
  <si>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</si>
  <si>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</si>
  <si>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</si>
  <si>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</si>
  <si>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</si>
  <si>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</si>
  <si>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</si>
  <si>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</si>
  <si>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</si>
  <si>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</si>
  <si>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</si>
  <si>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</si>
  <si>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</si>
  <si>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</si>
  <si>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</si>
  <si>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</si>
  <si>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</si>
  <si>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</si>
  <si>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</si>
  <si>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</si>
  <si>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</si>
  <si>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</si>
  <si>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</si>
  <si>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</si>
  <si>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</si>
  <si>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</si>
  <si>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</si>
  <si>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</si>
  <si>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</si>
  <si>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</si>
  <si>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</si>
  <si>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</si>
  <si>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</si>
  <si>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</si>
  <si>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</si>
  <si>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</si>
  <si>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</si>
  <si>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</si>
  <si>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</si>
  <si>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</si>
  <si>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</si>
  <si>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</si>
  <si>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</si>
  <si>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</si>
  <si>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</si>
  <si>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</si>
  <si>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</si>
  <si>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</si>
  <si>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</si>
  <si>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</si>
  <si>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</si>
  <si>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</si>
  <si>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</si>
  <si>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</si>
  <si>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</si>
  <si>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</si>
  <si>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</si>
  <si>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</si>
  <si>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</si>
  <si>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</si>
  <si>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</si>
  <si>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</si>
  <si>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</si>
  <si>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</si>
  <si>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</si>
  <si>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</si>
  <si>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</si>
  <si>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</si>
  <si>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</si>
  <si>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</si>
  <si>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</si>
  <si>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</si>
  <si>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</si>
  <si>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</si>
  <si>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</si>
  <si>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</si>
  <si>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</si>
  <si>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</si>
  <si>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</si>
  <si>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</si>
  <si>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</si>
  <si>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</si>
  <si>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</si>
  <si>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</si>
  <si>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</si>
  <si>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</si>
  <si>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</si>
  <si>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</si>
  <si>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</si>
  <si>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</si>
  <si>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</si>
  <si>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</si>
  <si>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</si>
  <si>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</si>
  <si>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</si>
  <si>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</si>
  <si>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</si>
  <si>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</si>
  <si>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</si>
  <si>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</si>
  <si>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</si>
  <si>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</si>
  <si>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</si>
  <si>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</si>
  <si>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</si>
  <si>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</si>
  <si>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</si>
  <si>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</si>
  <si>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</si>
  <si>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</si>
  <si>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</si>
  <si>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</si>
  <si>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</si>
  <si>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</si>
  <si>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</si>
  <si>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</si>
  <si>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</si>
  <si>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</si>
  <si>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</si>
  <si>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</si>
  <si>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</si>
  <si>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</si>
  <si>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</si>
  <si>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</si>
  <si>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</si>
  <si>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</si>
  <si>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</si>
  <si>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</si>
  <si>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</si>
  <si>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</si>
  <si>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</si>
  <si>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</si>
  <si>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</si>
  <si>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</si>
  <si>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</si>
  <si>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</si>
  <si>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</si>
  <si>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</si>
  <si>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</si>
  <si>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</si>
  <si>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</si>
  <si>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</si>
  <si>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</si>
  <si>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</si>
  <si>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</si>
  <si>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</si>
  <si>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</si>
  <si>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</si>
  <si>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</si>
  <si>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</si>
  <si>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</si>
  <si>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</si>
  <si>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</si>
  <si>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</si>
  <si>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</si>
  <si>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</si>
  <si>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</si>
  <si>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</si>
  <si>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</si>
  <si>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</si>
  <si>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</si>
  <si>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</si>
  <si>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</si>
  <si>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</si>
  <si>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</si>
  <si>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</si>
  <si>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</si>
  <si>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</si>
  <si>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</si>
  <si>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</si>
  <si>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</si>
  <si>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</si>
  <si>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</si>
  <si>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</si>
  <si>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</si>
  <si>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</si>
  <si>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</si>
  <si>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</si>
  <si>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</si>
  <si>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</si>
  <si>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</si>
  <si>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</si>
  <si>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</si>
  <si>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</si>
  <si>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</si>
  <si>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Projekt realizowany od listopada 2026 do kwietnia 2029 (18 miesięcy, w tym badania przemysłowe i prace rozwojowe – te ostatnie w ostatnich 12 miesiącach). Przyjęto 10-letni okres prognozy po zakończeniu realizacji, do 2039 r. – to w nim wypada rok osiągnięcia opłacalności (NPV&gt;0, IRR&gt;4%), co pokazano w arkuszu Opłacalność. Rotacje kapitału pracującego dla działalności projektowej (należności 45 dni, zobowiązania 30 dni, zapasy 30 dni od uruchomienia sprzedaży w 2030 r.) odpowiadają warunkom handlowym planowanym z klientami B2B – dłuższy termin płatności dla odbiorców niż dla dostawców, typowy dla tej fazy budowania relacji z klientami.</t>
  </si>
  <si>
    <t xml:space="preserve">Przychody dotychczasowej działalności wyniosły 1 167 tys. zł w 2023 r., 777 tys. zł w 2024 r., 14 254 tys. zł w 2025 r. i 9 763 tys. zł w pierwszym półroczu 2026 r. Skok w 2025 r. wynika z pozyskania większych zleceń spedycyjnych. Spółka działa w modelu asset-light, bez własnej floty, więc większość przychodu przechodzi w koszty usług obcych: w pierwszym półroczu 2026 r. było to 8 885 tys. zł, czyli 97% kosztów operacyjnych. Dlatego marża jednostkowa i wynik netto są niskie względem obrotu, a w 2025 r. zysk netto wyniósł 41 tys. zł przy przychodzie 14,25 mln zł. Zysk netto za pierwsze półrocze 2026 r. wynosi 501 tys. zł, czyli 5,1% przychodu, i jest wyższy niż za cały 2025 r., co potwierdza utrzymanie działalności na podwyższonym poziomie. Na 30.06.2026 r. należności z tytułu dostaw i usług wynosiły 2 000 tys. zł, wobec 3 071 tys. zł na 31.03.2026 r., co odpowiada cyklowi rotacji 37 dni. Prognozę oparto na prostym przeliczeniu wyniku pierwszego półrocza razy dwa, bez zakładania dalszego wzrostu. Prognozowane przychody (19 527 tys. zł rocznie) są o 3,3% niższe niż przy mnożeniu wyniku pierwszego kwartału razy cztery (20 204 tys. zł), więc przy tak krótkiej historii na nowym poziomie obrotów przyjęto podejście ostrożniejsze niż ekstrapolacja trendu.</t>
  </si>
  <si>
    <t xml:space="preserve">DZIAŁALNOŚĆ DOTYCHCZASOWA: prognozę przyjęto na poziomie zannualizowanego pierwszego półrocza 2026 r. (2 x 9 763 418 zł = 19 526 835 zł rocznie), utrzymanym płasko w całym horyzoncie, czyli bez wzrostu. Wzrost względem lat 2023 i 2024 (1,17 mln zł i 0,78 mln zł) wynika ze skokowego rozwoju usług spedycyjno-transportowych w 2025 r. (14,25 mln zł) i utrzymania obrotów w pierwszym półroczu 2026 r. (9,76 mln zł). Niższe wyniki wcześniejszych lat wynikały z ówczesnej optymalizacji podatkowej, a nie ze skali operacyjnej.</t>
  </si>
  <si>
    <t xml:space="preserve">Koszty dotychczasowej działalności przyjęto płasko na poziomie zannualizowanego pierwszego półrocza 2026 r. (2 x 9 144 948 zł = 18 289 895 zł rocznie), bez wzrostu skali. Koszty fazy B+R (2026–2029) obejmują wynagrodzenia zespołu badawczego, podwykonawstwo (badania, testy terenowe), ryczałt kosztów pośrednich 25% oraz wydatki na internacjonalizację – zgłoszenie patentowe i udział w targach – zgodnie z budżetem projektu. W fazie komercjalizacji projekt jest deficytowy w pierwszych dwóch latach (2030–2031), co wynika z typowego rozruchu sprzedaży: koszty stałe (zespół komercjalizacji, amortyzacja skapitalizowanych prac rozwojowych) przewyższają jeszcze niewielki wolumen sprzedaży przy 50 aktywnych pojazdach w 2030 r. Break-even operacyjny przypada na 2032 r., a marża netto rośnie do ok. 31% w 2034 r. wraz ze wzrostem sprzedaży modelu SaaS/API, gdzie koszt krańcowy jest niski. Zespół sprzedaży i budżet marketingowy zostały celowo ograniczone względem prognozowanych wolumenów – relacja kosztów sprzedaży i marketingu do przychodu spada z ok. 72% w 2030 r. do ok. 16% w 2034 r. Uzasadnia to sam kanał dotarcia do klienta: pierwsze wdrożenia opierają się na rozszerzeniu istniejącej relacji handlowej z bazą ponad 50 aktywnych kontrahentów spedycyjnych Everest11, a nie na akwizycji zimnej – cel 50 pojazdów w 2030 r. pokrywają już 4 kontrakty, w tym zawarte listy intencyjne z konkretnymi operatorami transportowymi.</t>
  </si>
  <si>
    <t>Koszty zakończonych prac rozwojowych (1 290 tys. zł – wynagrodzenia zespołu w fazie prac rozwojowych oraz podwykonawstwo Z9) kapitalizujemy i amortyzujemy liniowo w stawce 20% rocznie przez 5 lat, począwszy od maja 2029 r., zgodnie z art. 33 ust. 2–3 ustawy o rachunkowości. Aparatura badawcza (57,1 tys. zł, zakup styczeń 2027 r., dofinansowanie 80%) amortyzowana jest jednorazowo w roku nabycia i częściowo w roku kolejnym – rozłożenie 52/5 tys. zł wynika z proporcjonalnego naliczenia amortyzacji od miesiąca następującego po zakupie, zgodnie z mechanizmem arkusza.</t>
  </si>
  <si>
    <t>Dotacja jest rozliczana w rachunku wyników jako pozostały przychód operacyjny równolegle do amortyzacji skapitalizowanych prac rozwojowych (60% wartości amortyzacji – tyle wynosi poziom dofinansowania prac rozwojowych), dlatego to rozliczenie kończy się w 2034 r., wraz z zakończeniem 5-letniego okresu amortyzacji. Koszty ponoszone i rozliczane kasowo w okresie realizacji (wynagrodzenia, podwykonawstwo, koszty pośrednie, internacjonalizacja, aparatura) są dofinansowane zgodnie z poziomami przyjętymi w budżecie – 80% dla badań przemysłowych i aparatury, 60% dla prac rozwojowych, 50% dla internacjonalizacji. Łączna kwota dofinansowania narastająco jest spójna z harmonogramem płatności w arkuszu Zaliczka-refundacja (2 964 296 zł).</t>
  </si>
  <si>
    <t xml:space="preserve">Rotacje dla dotychczasowej działalności wyliczyliśmy na podstawie danych historycznych – należności w przedziale 63–84 dni, zobowiązania 96–133 dni, zapasy zerowe (spółka nie magazynuje towarów, typowe dla brokera spedycyjnego). Ujemny kapitał pracujący, czyli przewaga zobowiązań handlowych nad należnościami, jest w tym modelu korzystny dla płynności – to normalna sytuacja w branży TSL, gdzie terminy płatności od kontrahentów bywają krótsze niż te udzielane dostawcom usług transportowych. Rotacje przyjęte dla projektu opisano w arkuszu Założenia. W pierwszym półroczu 2026 r. cykl rotacji należności wyniósł 37 dni, a zobowiązań z tytułu dostaw i usług 29 dni (na 30.06.2026 r. należności 2 000 tys. zł, zobowiązania 1 444 tys. zł). Prognozowane rotacje działalności dotychczasowej są średnią z lat 2023–2025, więc w przypadku należności są ostrożniejsze niż wynik półrocza.</t>
  </si>
  <si>
    <t>Wkład własny finansujemy poprzez podwyższenie kapitału zakładowego – objęcie nowych udziałów przez inwestora. Łączna kwota to 1 172 424 zł wkładu w koszty kwalifikowalne, wnoszona w transzach zgodnie z zapotrzebowaniem: 49 947 zł (2026), 341 113 zł (2027), 551 224 zł (2028), 230 140 zł (2029). Dodatkowo inwestor pokrywa VAT od wydatków kwalifikowalnych objętych 23% stawką (podwykonawstwo, aparatura, internacjonalizacja) w kwocie ok. 83,7 tys. zł – prefinansowany do czasu odzyskania przez spółkę jako czynnego podatnika VAT. Łącznie ze wskaźnikiem inwestycji prywatnych daje to 1 253 358 zł. Spółka nie zadłuża się w celu sfinansowania wkładu własnego – nie ma tu kosztów odsetkowych. Zobowiązanie inwestora potwierdza Warunkowa Umowa Inwestycyjna z warunkiem zawieszającym w postaci przyznania dofinansowania, a jego zdolność do wniesienia środków – zaświadczenie bankowe o stanie środków finansowych.</t>
  </si>
  <si>
    <t>Projekt osiąga opłacalność (NPV&gt;0 i IRR powyżej stopy dyskonta 4%) w 2034 r. – piątym roku po zakończeniu realizacji, czyli w minimalnym okresie prognozy wymaganym przez Instrukcję. Skumulowane zdyskontowane przepływy z dotacją zmieniają znak z ujemnego (-332 tys. zł w 2033 r.) na dodatni (+1 445 tys. zł w 2034 r.) i rosną do +10 830 tys. zł w 2039 r., przy IRR rosnącym z 20% do ok. 41%. Istotne jest to, że NPV jest dodatnie również bez dotacji – od 2035 r. – co pokazuje, że projekt jest rentowny sam w sobie, a wsparcie publiczne przede wszystkim przyspiesza moment zwrotu i ogranicza ryzyko fazy rozruchu. Ścieżka wzrostu przychodu (50 pojazdów w 2030 r. do 1 000 w 2034 r.) nie jest założeniem czysto teoretycznym – pierwszy próg pokrywają już podpisane listy intencyjne z odbiorcami oraz wdrożenie własne Everest11, a dalszy wzrost opiera się na bazie ponad 50 istniejących kontrahentów spedycyjnych spółki jako naturalnym kanale dystrybucji. Przyjęty 10-letni horyzont po zakończeniu projektu jest konieczny, by moment przekroczenia progu rentowności był w ogóle widoczny w prognozie.</t>
  </si>
  <si>
    <t>Płynność finansowa pozostaje dodatnia przez cały okres prognozy – od 2 618 tys. zł w 2026 r. do 16 679 tys. zł w 2039 r. Wskaźnik zadłużenia jest najwyższy w 2030 r. (ok. 74%, szczyt zaangażowania kapitałowego związanego z wdrożeniem) i spada do ok. 2% w 2039 r. Strata operacyjna projektu w latach 2030–2031 jest w całości pokrywana dodatnimi przepływami z dotychczasowej działalności oraz dokapitalizowaniem, więc nie stwarza ryzyka dla płynności całej spółki. Komórki kontrolne „sprawdzenie" w wierszach 95 i 382 wykazują FALSE ze względu na stałą różnicę -1 tys. zł (dotychczasowa) i -1,46 tys. zł (łącznie) między Aktywami a Pasywami – to efekt niezależnego zaokrąglania poszczególnych pozycji bilansowych przez zablokowane formuły szablonu, których zgodnie z Instrukcją nie edytujemy. Dane źródłowe w Sprawozdaniach finansowych bilansują się dokładnie we wszystkich okresach historycznych, a różnica mieści się w dopuszczalnej tolerancji zaokrągleń.</t>
  </si>
  <si>
    <t>Konsorcjum tworzą Everest 11 Sp. z o.o. jako lider, wdrażający rezultat we własnej działalności gospodarczej, oraz Politechnika Rzeszowska im. Ignacego Łukasiewicza jako organizacja badawcza, finansowana w 100% i bez przychodów w ramach projektu. Łączna wartość dofinansowania to 3 999 296 zł (Everest 11: 2 964 296 zł, PRz: 1 035 000 zł). Koszty PRz są w każdym roku w całości pokryte dotacją, więc jej udział nie wpływa na przepływy pieniężne konsorcjum – wynik opłacalności całego konsorcjum pokrywa się z wynikiem lidera: NPV&gt;0 i IRR&gt;4% od 2034 r. Oba podmioty przyjęły te same daty rozpoczęcia i zakończenia realizacji projektu w arkuszu Założenia, zgodnie z wymogiem Instrukcji.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</si>
</sst>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c r="C118" s="303"/>
      <c r="D118" s="292"/>
      <c r="E118" s="293"/>
      <c r="F118" s="293"/>
      <c r="G118" s="293"/>
      <c r="H118" s="293"/>
      <c r="I118" s="293"/>
      <c r="J118" s="339"/>
      <c r="K118" s="339"/>
      <c r="L118" s="339"/>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33.284999999999997</v>
      </c>
      <c r="N164" s="340">
        <v>53.585999999999999</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v>1</v>
      </c>
      <c r="D418" s="286">
        <v>57.1</v>
      </c>
      <c r="E418" s="370">
        <v>46388</v>
      </c>
      <c r="F418" s="371" t="s">
        <v>144</v>
      </c>
      <c r="G418" s="378" t="s">
        <v>145</v>
      </c>
      <c r="H418" s="393">
        <v>0.8</v>
      </c>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t="e">
        <f ca="1">VLOOKUP(OFFSET($C$96,D928,0),Założenia!$J$46:$K$53,2,FALSE)</f>
        <v>#N/A</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t="e">
        <f ca="1">VLOOKUP(OFFSET($C$96,D934,0),Założenia!$J$46:$K$53,2,FALSE)</f>
        <v>#N/A</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t="e">
        <f ca="1">VLOOKUP(OFFSET($C$96,D940,0),Założenia!$J$46:$K$53,2,FALSE)</f>
        <v>#N/A</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t="e">
        <f ca="1">VLOOKUP(OFFSET($C$96,D946,0),Założenia!$J$46:$K$53,2,FALSE)</f>
        <v>#N/A</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t="e">
        <f ca="1">VLOOKUP(OFFSET($C$96,D952,0),Założenia!$J$46:$K$53,2,FALSE)</f>
        <v>#N/A</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t="e">
        <f ca="1">VLOOKUP(OFFSET($C$96,D958,0),Założenia!$J$46:$K$53,2,FALSE)</f>
        <v>#N/A</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t="e">
        <f ca="1">VLOOKUP(OFFSET($C$96,D964,0),Założenia!$J$46:$K$53,2,FALSE)</f>
        <v>#N/A</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t="e">
        <f ca="1">VLOOKUP(OFFSET($C$96,D970,0),Założenia!$J$46:$K$53,2,FALSE)</f>
        <v>#N/A</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t="e">
        <f ca="1">VLOOKUP(OFFSET($C$96,D976,0),Założenia!$J$46:$K$53,2,FALSE)</f>
        <v>#N/A</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t="e">
        <f ca="1">VLOOKUP(OFFSET($C$96,D982,0),Założenia!$J$46:$K$53,2,FALSE)</f>
        <v>#N/A</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t="e">
        <f ca="1">VLOOKUP(OFFSET($C$96,D988,0),Założenia!$J$46:$K$53,2,FALSE)</f>
        <v>#N/A</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t="e">
        <f ca="1">VLOOKUP(OFFSET($C$96,D994,0),Założenia!$J$46:$K$53,2,FALSE)</f>
        <v>#N/A</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t="e">
        <f ca="1">VLOOKUP(OFFSET($C$96,D1000,0),Założenia!$J$46:$K$53,2,FALSE)</f>
        <v>#N/A</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t="e">
        <f ca="1">VLOOKUP(OFFSET($C$96,D1006,0),Założenia!$J$46:$K$53,2,FALSE)</f>
        <v>#N/A</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t="e">
        <f ca="1">VLOOKUP(OFFSET($C$96,D1012,0),Założenia!$J$46:$K$53,2,FALSE)</f>
        <v>#N/A</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t="e">
        <f ca="1">VLOOKUP(OFFSET($C$96,D1018,0),Założenia!$J$46:$K$53,2,FALSE)</f>
        <v>#N/A</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t="e">
        <f ca="1">VLOOKUP(OFFSET($C$96,D1024,0),Założenia!$J$46:$K$53,2,FALSE)</f>
        <v>#N/A</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t="e">
        <f ca="1">VLOOKUP(OFFSET($C$96,D1030,0),Założenia!$J$46:$K$53,2,FALSE)</f>
        <v>#N/A</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t="e">
        <f ca="1">VLOOKUP(OFFSET($C$96,D1036,0),Założenia!$J$46:$K$53,2,FALSE)</f>
        <v>#N/A</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t="e">
        <f ca="1">VLOOKUP(OFFSET($C$96,D1042,0),Założenia!$J$46:$K$53,2,FALSE)</f>
        <v>#N/A</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t="e">
        <f ca="1">VLOOKUP(OFFSET($C$96,D1048,0),Założenia!$J$46:$K$53,2,FALSE)</f>
        <v>#N/A</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t="e">
        <f ca="1">VLOOKUP(OFFSET($C$96,D1054,0),Założenia!$J$46:$K$53,2,FALSE)</f>
        <v>#N/A</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t="e">
        <f ca="1">VLOOKUP(OFFSET($C$96,D1060,0),Założenia!$J$46:$K$53,2,FALSE)</f>
        <v>#N/A</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t="e">
        <f ca="1">VLOOKUP(OFFSET($C$96,D1066,0),Założenia!$J$46:$K$53,2,FALSE)</f>
        <v>#N/A</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t="e">
        <f ca="1">VLOOKUP(OFFSET($C$96,D1072,0),Założenia!$J$46:$K$53,2,FALSE)</f>
        <v>#N/A</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t="e">
        <f ca="1">VLOOKUP(OFFSET($C$96,D1078,0),Założenia!$J$46:$K$53,2,FALSE)</f>
        <v>#N/A</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t="e">
        <f ca="1">VLOOKUP(OFFSET($C$96,D1084,0),Założenia!$J$46:$K$53,2,FALSE)</f>
        <v>#N/A</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t="e">
        <f ca="1">VLOOKUP(OFFSET($C$96,D1090,0),Założenia!$J$46:$K$53,2,FALSE)</f>
        <v>#N/A</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t="e">
        <f ca="1">VLOOKUP(OFFSET($C$96,D1096,0),Założenia!$J$46:$K$53,2,FALSE)</f>
        <v>#N/A</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t="e">
        <f ca="1">VLOOKUP(OFFSET($C$96,D1102,0),Założenia!$J$46:$K$53,2,FALSE)</f>
        <v>#N/A</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t="e">
        <f ca="1">VLOOKUP(OFFSET($C$96,D1108,0),Założenia!$J$46:$K$53,2,FALSE)</f>
        <v>#N/A</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t="e">
        <f ca="1">VLOOKUP(OFFSET($C$96,D1114,0),Założenia!$J$46:$K$53,2,FALSE)</f>
        <v>#N/A</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t="e">
        <f ca="1">VLOOKUP(OFFSET($C$96,D1120,0),Założenia!$J$46:$K$53,2,FALSE)</f>
        <v>#N/A</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t="e">
        <f ca="1">VLOOKUP(OFFSET($C$96,D1126,0),Założenia!$J$46:$K$53,2,FALSE)</f>
        <v>#N/A</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t="e">
        <f ca="1">VLOOKUP(OFFSET($C$96,D1132,0),Założenia!$J$46:$K$53,2,FALSE)</f>
        <v>#N/A</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t="e">
        <f ca="1">VLOOKUP(OFFSET($C$96,D1138,0),Założenia!$J$46:$K$53,2,FALSE)</f>
        <v>#N/A</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t="e">
        <f ca="1">VLOOKUP(OFFSET($C$96,D1144,0),Założenia!$J$46:$K$53,2,FALSE)</f>
        <v>#N/A</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t="e">
        <f ca="1">VLOOKUP(OFFSET($C$96,D1150,0),Założenia!$J$46:$K$53,2,FALSE)</f>
        <v>#N/A</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t="e">
        <f ca="1">VLOOKUP(OFFSET($C$96,D1156,0),Założenia!$J$46:$K$53,2,FALSE)</f>
        <v>#N/A</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t="e">
        <f ca="1">VLOOKUP(OFFSET($C$96,D1162,0),Założenia!$J$46:$K$53,2,FALSE)</f>
        <v>#N/A</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3370</v>
      </c>
      <c r="L31" s="31">
        <f t="shared" ca="1" si="16"/>
        <v>3584</v>
      </c>
      <c r="M31" s="31">
        <f t="shared" ca="1" si="16"/>
        <v>4482</v>
      </c>
      <c r="N31" s="31">
        <f t="shared" ca="1" si="16"/>
        <v>3798</v>
      </c>
      <c r="O31" s="31">
        <f t="shared" ca="1" si="16"/>
        <v>3959</v>
      </c>
      <c r="P31" s="31">
        <f t="shared" ca="1" si="16"/>
        <v>4066</v>
      </c>
      <c r="Q31" s="31">
        <f t="shared" ca="1" si="16"/>
        <v>3948</v>
      </c>
      <c r="R31" s="31">
        <f t="shared" ca="1" si="16"/>
        <v>4012</v>
      </c>
      <c r="S31" s="31">
        <f t="shared" ca="1" si="16"/>
        <v>4012</v>
      </c>
      <c r="T31" s="31">
        <f t="shared" ca="1" si="16"/>
        <v>4012</v>
      </c>
      <c r="U31" s="31">
        <f t="shared" ca="1" si="16"/>
        <v>4001</v>
      </c>
      <c r="V31" s="31">
        <f t="shared" ca="1" si="16"/>
        <v>4012</v>
      </c>
      <c r="W31" s="31">
        <f t="shared" ca="1" si="16"/>
        <v>4012</v>
      </c>
      <c r="X31" s="31">
        <f t="shared" ca="1" si="16"/>
        <v>4012</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63</v>
      </c>
      <c r="L32" s="101">
        <f ca="1">IF($G$160=1,'Ocena kondycji finansowej'!L146,0)</f>
        <v>67</v>
      </c>
      <c r="M32" s="101">
        <f ca="1">IF($G$160=1,'Ocena kondycji finansowej'!M146,0)</f>
        <v>84</v>
      </c>
      <c r="N32" s="101">
        <f ca="1">IF($G$160=1,'Ocena kondycji finansowej'!N146,0)</f>
        <v>71</v>
      </c>
      <c r="O32" s="101">
        <f ca="1">IF($G$160=1,'Ocena kondycji finansowej'!O146,0)</f>
        <v>74</v>
      </c>
      <c r="P32" s="101">
        <f ca="1">IF($G$160=1,'Ocena kondycji finansowej'!P146,0)</f>
        <v>76</v>
      </c>
      <c r="Q32" s="101">
        <f ca="1">IF($G$160=1,'Ocena kondycji finansowej'!Q146,0)</f>
        <v>74</v>
      </c>
      <c r="R32" s="101">
        <f ca="1">IF($G$160=1,'Ocena kondycji finansowej'!R146,0)</f>
        <v>75</v>
      </c>
      <c r="S32" s="101">
        <f ca="1">IF($G$160=1,'Ocena kondycji finansowej'!S146,0)</f>
        <v>75</v>
      </c>
      <c r="T32" s="101">
        <f ca="1">IF($G$160=1,'Ocena kondycji finansowej'!T146,0)</f>
        <v>75</v>
      </c>
      <c r="U32" s="101">
        <f ca="1">IF($G$160=1,'Ocena kondycji finansowej'!U146,0)</f>
        <v>75</v>
      </c>
      <c r="V32" s="101">
        <f ca="1">IF($G$160=1,'Ocena kondycji finansowej'!V146,0)</f>
        <v>75</v>
      </c>
      <c r="W32" s="101">
        <f ca="1">IF($G$160=1,'Ocena kondycji finansowej'!W146,0)</f>
        <v>75</v>
      </c>
      <c r="X32" s="101">
        <f ca="1">IF($G$160=1,'Ocena kondycji finansowej'!X146,0)</f>
        <v>75</v>
      </c>
      <c r="Y32" s="101" t="str">
        <f>IF($G$160=1,'Ocena kondycji finansowej'!AC146,0)</f>
        <v>bd.</v>
      </c>
      <c r="Z32" s="101" t="str">
        <f>IF($G$160=1,'Ocena kondycji finansowej'!AD146,0)</f>
        <v>bd.</v>
      </c>
      <c r="AA32" s="101" t="str">
        <f>IF($G$160=1,'Ocena kondycji finansowej'!AE146,0)</f>
        <v>bd.</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0</v>
      </c>
      <c r="L36" s="31">
        <f t="shared" si="19"/>
        <v>0</v>
      </c>
      <c r="M36" s="31">
        <f t="shared" si="19"/>
        <v>0</v>
      </c>
      <c r="N36" s="31">
        <f t="shared" si="19"/>
        <v>0</v>
      </c>
      <c r="O36" s="31">
        <f t="shared" si="19"/>
        <v>0</v>
      </c>
      <c r="P36" s="31">
        <f t="shared" si="19"/>
        <v>0</v>
      </c>
      <c r="Q36" s="31">
        <f t="shared" si="19"/>
        <v>0</v>
      </c>
      <c r="R36" s="31">
        <f t="shared" si="19"/>
        <v>0</v>
      </c>
      <c r="S36" s="31">
        <f t="shared" si="19"/>
        <v>0</v>
      </c>
      <c r="T36" s="31">
        <f t="shared" si="19"/>
        <v>0</v>
      </c>
      <c r="U36" s="31">
        <f t="shared" si="19"/>
        <v>0</v>
      </c>
      <c r="V36" s="31">
        <f t="shared" si="19"/>
        <v>0</v>
      </c>
      <c r="W36" s="31">
        <f t="shared" si="19"/>
        <v>0</v>
      </c>
      <c r="X36" s="31">
        <f t="shared" si="19"/>
        <v>0</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c r="L37" s="293"/>
      <c r="M37" s="293"/>
      <c r="N37" s="293"/>
      <c r="O37" s="293"/>
      <c r="P37" s="293"/>
      <c r="Q37" s="293"/>
      <c r="R37" s="293"/>
      <c r="S37" s="293"/>
      <c r="T37" s="293"/>
      <c r="U37" s="293"/>
      <c r="V37" s="293"/>
      <c r="W37" s="293"/>
      <c r="X37" s="293"/>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3370</v>
      </c>
      <c r="L41" s="31">
        <f t="shared" ca="1" si="29"/>
        <v>3584</v>
      </c>
      <c r="M41" s="31">
        <f t="shared" ca="1" si="29"/>
        <v>4482</v>
      </c>
      <c r="N41" s="31">
        <f t="shared" ca="1" si="29"/>
        <v>3798</v>
      </c>
      <c r="O41" s="31">
        <f t="shared" ca="1" si="29"/>
        <v>3959</v>
      </c>
      <c r="P41" s="31">
        <f t="shared" ca="1" si="29"/>
        <v>4066</v>
      </c>
      <c r="Q41" s="31">
        <f t="shared" ca="1" si="29"/>
        <v>3948</v>
      </c>
      <c r="R41" s="31">
        <f t="shared" ca="1" si="29"/>
        <v>4012</v>
      </c>
      <c r="S41" s="31">
        <f t="shared" ca="1" si="29"/>
        <v>4012</v>
      </c>
      <c r="T41" s="31">
        <f t="shared" ca="1" si="29"/>
        <v>4012</v>
      </c>
      <c r="U41" s="31">
        <f t="shared" ca="1" si="29"/>
        <v>4001</v>
      </c>
      <c r="V41" s="31">
        <f t="shared" ca="1" si="29"/>
        <v>4012</v>
      </c>
      <c r="W41" s="31">
        <f t="shared" ca="1" si="29"/>
        <v>4012</v>
      </c>
      <c r="X41" s="31">
        <f t="shared" ca="1" si="29"/>
        <v>4012</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4810</v>
      </c>
      <c r="L46" s="31">
        <f t="shared" ca="1" si="32"/>
        <v>5562</v>
      </c>
      <c r="M46" s="31">
        <f t="shared" ca="1" si="32"/>
        <v>6646</v>
      </c>
      <c r="N46" s="31">
        <f t="shared" ca="1" si="32"/>
        <v>5662</v>
      </c>
      <c r="O46" s="31">
        <f t="shared" ca="1" si="32"/>
        <v>5963</v>
      </c>
      <c r="P46" s="31">
        <f t="shared" ca="1" si="32"/>
        <v>6113</v>
      </c>
      <c r="Q46" s="31">
        <f t="shared" ca="1" si="32"/>
        <v>5896</v>
      </c>
      <c r="R46" s="31">
        <f t="shared" ca="1" si="32"/>
        <v>6013</v>
      </c>
      <c r="S46" s="31">
        <f t="shared" ca="1" si="32"/>
        <v>6013</v>
      </c>
      <c r="T46" s="31">
        <f t="shared" ca="1" si="32"/>
        <v>5963</v>
      </c>
      <c r="U46" s="31">
        <f t="shared" ca="1" si="32"/>
        <v>5996</v>
      </c>
      <c r="V46" s="31">
        <f t="shared" ca="1" si="32"/>
        <v>6013</v>
      </c>
      <c r="W46" s="31">
        <f t="shared" ca="1" si="32"/>
        <v>6013</v>
      </c>
      <c r="X46" s="31">
        <f t="shared" ca="1" si="32"/>
        <v>6013</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96</v>
      </c>
      <c r="L47" s="101">
        <f ca="1">IF($G$161=1,'Ocena kondycji finansowej'!L147,0)</f>
        <v>111</v>
      </c>
      <c r="M47" s="101">
        <f ca="1">IF($G$161=1,'Ocena kondycji finansowej'!M147,0)</f>
        <v>133</v>
      </c>
      <c r="N47" s="101">
        <f ca="1">IF($G$161=1,'Ocena kondycji finansowej'!N147,0)</f>
        <v>113</v>
      </c>
      <c r="O47" s="101">
        <f ca="1">IF($G$161=1,'Ocena kondycji finansowej'!O147,0)</f>
        <v>119</v>
      </c>
      <c r="P47" s="101">
        <f ca="1">IF($G$161=1,'Ocena kondycji finansowej'!P147,0)</f>
        <v>122</v>
      </c>
      <c r="Q47" s="101">
        <f ca="1">IF($G$161=1,'Ocena kondycji finansowej'!Q147,0)</f>
        <v>118</v>
      </c>
      <c r="R47" s="101">
        <f ca="1">IF($G$161=1,'Ocena kondycji finansowej'!R147,0)</f>
        <v>120</v>
      </c>
      <c r="S47" s="101">
        <f ca="1">IF($G$161=1,'Ocena kondycji finansowej'!S147,0)</f>
        <v>120</v>
      </c>
      <c r="T47" s="101">
        <f ca="1">IF($G$161=1,'Ocena kondycji finansowej'!T147,0)</f>
        <v>119</v>
      </c>
      <c r="U47" s="101">
        <f ca="1">IF($G$161=1,'Ocena kondycji finansowej'!U147,0)</f>
        <v>120</v>
      </c>
      <c r="V47" s="101">
        <f ca="1">IF($G$161=1,'Ocena kondycji finansowej'!V147,0)</f>
        <v>120</v>
      </c>
      <c r="W47" s="101">
        <f ca="1">IF($G$161=1,'Ocena kondycji finansowej'!W147,0)</f>
        <v>120</v>
      </c>
      <c r="X47" s="101">
        <f ca="1">IF($G$161=1,'Ocena kondycji finansowej'!X147,0)</f>
        <v>120</v>
      </c>
      <c r="Y47" s="101" t="str">
        <f>IF($G$161=1,'Ocena kondycji finansowej'!AC147,0)</f>
        <v>bd.</v>
      </c>
      <c r="Z47" s="101" t="str">
        <f>IF($G$161=1,'Ocena kondycji finansowej'!AD147,0)</f>
        <v>bd.</v>
      </c>
      <c r="AA47" s="101" t="str">
        <f>IF($G$161=1,'Ocena kondycji finansowej'!AE147,0)</f>
        <v>bd.</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0</v>
      </c>
      <c r="L51" s="31">
        <f t="shared" si="35"/>
        <v>0</v>
      </c>
      <c r="M51" s="31">
        <f t="shared" si="35"/>
        <v>0</v>
      </c>
      <c r="N51" s="31">
        <f t="shared" si="35"/>
        <v>0</v>
      </c>
      <c r="O51" s="31">
        <f t="shared" si="35"/>
        <v>0</v>
      </c>
      <c r="P51" s="31">
        <f t="shared" si="35"/>
        <v>0</v>
      </c>
      <c r="Q51" s="31">
        <f t="shared" si="35"/>
        <v>0</v>
      </c>
      <c r="R51" s="31">
        <f t="shared" si="35"/>
        <v>0</v>
      </c>
      <c r="S51" s="31">
        <f t="shared" si="35"/>
        <v>0</v>
      </c>
      <c r="T51" s="31">
        <f t="shared" si="35"/>
        <v>0</v>
      </c>
      <c r="U51" s="31">
        <f t="shared" si="35"/>
        <v>0</v>
      </c>
      <c r="V51" s="31">
        <f t="shared" si="35"/>
        <v>0</v>
      </c>
      <c r="W51" s="31">
        <f t="shared" si="35"/>
        <v>0</v>
      </c>
      <c r="X51" s="31">
        <f t="shared" si="35"/>
        <v>0</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c r="L52" s="293"/>
      <c r="M52" s="293"/>
      <c r="N52" s="293"/>
      <c r="O52" s="293"/>
      <c r="P52" s="293"/>
      <c r="Q52" s="293"/>
      <c r="R52" s="293"/>
      <c r="S52" s="293"/>
      <c r="T52" s="293"/>
      <c r="U52" s="293"/>
      <c r="V52" s="293"/>
      <c r="W52" s="293"/>
      <c r="X52" s="293"/>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4810</v>
      </c>
      <c r="L56" s="31">
        <f t="shared" ca="1" si="44"/>
        <v>5562</v>
      </c>
      <c r="M56" s="31">
        <f t="shared" ca="1" si="44"/>
        <v>6646</v>
      </c>
      <c r="N56" s="31">
        <f t="shared" ca="1" si="44"/>
        <v>5662</v>
      </c>
      <c r="O56" s="31">
        <f t="shared" ca="1" si="44"/>
        <v>5963</v>
      </c>
      <c r="P56" s="31">
        <f t="shared" ca="1" si="44"/>
        <v>6113</v>
      </c>
      <c r="Q56" s="31">
        <f t="shared" ca="1" si="44"/>
        <v>5896</v>
      </c>
      <c r="R56" s="31">
        <f t="shared" ca="1" si="44"/>
        <v>6013</v>
      </c>
      <c r="S56" s="31">
        <f t="shared" ca="1" si="44"/>
        <v>6013</v>
      </c>
      <c r="T56" s="31">
        <f t="shared" ca="1" si="44"/>
        <v>5963</v>
      </c>
      <c r="U56" s="31">
        <f t="shared" ca="1" si="44"/>
        <v>5996</v>
      </c>
      <c r="V56" s="31">
        <f t="shared" ca="1" si="44"/>
        <v>6013</v>
      </c>
      <c r="W56" s="31">
        <f t="shared" ca="1" si="44"/>
        <v>6013</v>
      </c>
      <c r="X56" s="31">
        <f t="shared" ca="1" si="44"/>
        <v>6013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-1440</v>
      </c>
      <c r="L59" s="13">
        <f t="shared" ca="1" si="46"/>
        <v>-1978</v>
      </c>
      <c r="M59" s="13">
        <f t="shared" ca="1" si="46"/>
        <v>-2164</v>
      </c>
      <c r="N59" s="13">
        <f t="shared" ca="1" si="46"/>
        <v>-1864</v>
      </c>
      <c r="O59" s="13">
        <f t="shared" ca="1" si="46"/>
        <v>-2004</v>
      </c>
      <c r="P59" s="13">
        <f t="shared" ca="1" si="46"/>
        <v>-2047</v>
      </c>
      <c r="Q59" s="13">
        <f t="shared" ca="1" si="46"/>
        <v>-1948</v>
      </c>
      <c r="R59" s="13">
        <f t="shared" ca="1" si="46"/>
        <v>-2001</v>
      </c>
      <c r="S59" s="13">
        <f t="shared" ca="1" si="46"/>
        <v>-2001</v>
      </c>
      <c r="T59" s="13">
        <f t="shared" ca="1" si="46"/>
        <v>-1951</v>
      </c>
      <c r="U59" s="13">
        <f t="shared" ca="1" si="46"/>
        <v>-1995</v>
      </c>
      <c r="V59" s="13">
        <f t="shared" ca="1" si="46"/>
        <v>-2001</v>
      </c>
      <c r="W59" s="13">
        <f t="shared" ca="1" si="46"/>
        <v>-2001</v>
      </c>
      <c r="X59" s="13">
        <f ca="1">ROUND(X26+X41-X56,0)</f>
        <v>-2001</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1996</v>
      </c>
      <c r="L60" s="5">
        <f t="shared" ref="L60:W60" ca="1" si="49">ROUND(K59-L59,0)</f>
        <v>538</v>
      </c>
      <c r="M60" s="5">
        <f t="shared" ca="1" si="49"/>
        <v>186</v>
      </c>
      <c r="N60" s="5">
        <f t="shared" ca="1" si="49"/>
        <v>-300</v>
      </c>
      <c r="O60" s="5">
        <f t="shared" ca="1" si="49"/>
        <v>140</v>
      </c>
      <c r="P60" s="5">
        <f t="shared" ca="1" si="49"/>
        <v>43</v>
      </c>
      <c r="Q60" s="5">
        <f t="shared" ca="1" si="49"/>
        <v>-99</v>
      </c>
      <c r="R60" s="5">
        <f t="shared" ca="1" si="49"/>
        <v>53</v>
      </c>
      <c r="S60" s="5">
        <f t="shared" ca="1" si="49"/>
        <v>0</v>
      </c>
      <c r="T60" s="5">
        <f t="shared" ca="1" si="49"/>
        <v>-50</v>
      </c>
      <c r="U60" s="5">
        <f t="shared" ca="1" si="49"/>
        <v>44</v>
      </c>
      <c r="V60" s="5">
        <f t="shared" ca="1" si="49"/>
        <v>6</v>
      </c>
      <c r="W60" s="5">
        <f t="shared" ca="1" si="49"/>
        <v>0</v>
      </c>
      <c r="X60" s="5">
        <f ca="1">ROUND(W59-X59,0)</f>
        <v>0</v>
      </c>
      <c r="Y60" s="5">
        <f t="shared" ref="Y60:AA60" ca="1" si="50">ROUND(X59-Y59,0)</f>
        <v>-2001</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3370</v>
      </c>
      <c r="L108" s="207">
        <f t="shared" ref="L108:W108" ca="1" si="102">IFERROR(L80+L41,0)</f>
        <v>3584</v>
      </c>
      <c r="M108" s="207">
        <f t="shared" ca="1" si="102"/>
        <v>4482</v>
      </c>
      <c r="N108" s="207">
        <f t="shared" ca="1" si="102"/>
        <v>3798</v>
      </c>
      <c r="O108" s="207">
        <f t="shared" ca="1" si="102"/>
        <v>4019</v>
      </c>
      <c r="P108" s="207">
        <f t="shared" ca="1" si="102"/>
        <v>4187</v>
      </c>
      <c r="Q108" s="207">
        <f t="shared" ca="1" si="102"/>
        <v>4174</v>
      </c>
      <c r="R108" s="207">
        <f t="shared" ca="1" si="102"/>
        <v>4465</v>
      </c>
      <c r="S108" s="207">
        <f t="shared" ca="1" si="102"/>
        <v>4918</v>
      </c>
      <c r="T108" s="207">
        <f t="shared" ca="1" si="102"/>
        <v>4918</v>
      </c>
      <c r="U108" s="207">
        <f t="shared" ca="1" si="102"/>
        <v>4904</v>
      </c>
      <c r="V108" s="207">
        <f t="shared" ca="1" si="102"/>
        <v>4918</v>
      </c>
      <c r="W108" s="207">
        <f t="shared" ca="1" si="102"/>
        <v>4918</v>
      </c>
      <c r="X108" s="207">
        <f ca="1">IFERROR(X80+X41,0)</f>
        <v>4918</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62.9922671173247</v>
      </c>
      <c r="L109" s="210">
        <f t="shared" ref="L109:W109" ca="1" si="105">IFERROR((L108/L111)*L110,0)</f>
        <v>66.9923695396118</v>
      </c>
      <c r="M109" s="210">
        <f t="shared" ca="1" si="105"/>
        <v>84.0073744046705</v>
      </c>
      <c r="N109" s="210">
        <f t="shared" ca="1" si="105"/>
        <v>70.9924719618989</v>
      </c>
      <c r="O109" s="210">
        <f t="shared" ca="1" si="105"/>
        <v>73.2844582105211</v>
      </c>
      <c r="P109" s="210">
        <f t="shared" ca="1" si="105"/>
        <v>74.5163099127212</v>
      </c>
      <c r="Q109" s="210">
        <f t="shared" ca="1" si="105"/>
        <v>71.507395618798</v>
      </c>
      <c r="R109" s="210">
        <f t="shared" ca="1" si="105"/>
        <v>70.2437394939873</v>
      </c>
      <c r="S109" s="210">
        <f t="shared" ca="1" si="105"/>
        <v>66.7957877502419</v>
      </c>
      <c r="T109" s="210">
        <f t="shared" ca="1" si="105"/>
        <v>66.7957877502419</v>
      </c>
      <c r="U109" s="210">
        <f t="shared" ca="1" si="105"/>
        <v>66.7881223487386</v>
      </c>
      <c r="V109" s="210">
        <f t="shared" ca="1" si="105"/>
        <v>66.7957877502419</v>
      </c>
      <c r="W109" s="210">
        <f t="shared" ca="1" si="105"/>
        <v>66.7957877502419</v>
      </c>
      <c r="X109" s="210">
        <f ca="1">IFERROR((X108/X111)*X110,0)</f>
        <v>66.7957877502419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3370</v>
      </c>
      <c r="L113" s="31">
        <f t="shared" ref="L113:W113" ca="1" si="111">ROUND(L108,0)</f>
        <v>3584</v>
      </c>
      <c r="M113" s="31">
        <f t="shared" ca="1" si="111"/>
        <v>4482</v>
      </c>
      <c r="N113" s="31">
        <f t="shared" ca="1" si="111"/>
        <v>3798</v>
      </c>
      <c r="O113" s="31">
        <f t="shared" ca="1" si="111"/>
        <v>4019</v>
      </c>
      <c r="P113" s="31">
        <f t="shared" ca="1" si="111"/>
        <v>4187</v>
      </c>
      <c r="Q113" s="31">
        <f t="shared" ca="1" si="111"/>
        <v>4174</v>
      </c>
      <c r="R113" s="31">
        <f t="shared" ca="1" si="111"/>
        <v>4465</v>
      </c>
      <c r="S113" s="31">
        <f t="shared" ca="1" si="111"/>
        <v>4918</v>
      </c>
      <c r="T113" s="31">
        <f t="shared" ca="1" si="111"/>
        <v>4918</v>
      </c>
      <c r="U113" s="31">
        <f t="shared" ca="1" si="111"/>
        <v>4904</v>
      </c>
      <c r="V113" s="31">
        <f t="shared" ca="1" si="111"/>
        <v>4918</v>
      </c>
      <c r="W113" s="31">
        <f t="shared" ca="1" si="111"/>
        <v>4918</v>
      </c>
      <c r="X113" s="31">
        <f ca="1">ROUND(X108,0)</f>
        <v>4918</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4831</v>
      </c>
      <c r="L117" s="207">
        <f t="shared" ref="L117:W117" ca="1" si="115">IFERROR(ROUND(L89+L56,0),0)</f>
        <v>5698</v>
      </c>
      <c r="M117" s="207">
        <f t="shared" ca="1" si="115"/>
        <v>6706</v>
      </c>
      <c r="N117" s="207">
        <f t="shared" ca="1" si="115"/>
        <v>5675</v>
      </c>
      <c r="O117" s="207">
        <f t="shared" ca="1" si="115"/>
        <v>6015</v>
      </c>
      <c r="P117" s="207">
        <f t="shared" ca="1" si="115"/>
        <v>6191</v>
      </c>
      <c r="Q117" s="207">
        <f t="shared" ca="1" si="115"/>
        <v>6013</v>
      </c>
      <c r="R117" s="207">
        <f t="shared" ca="1" si="115"/>
        <v>6220</v>
      </c>
      <c r="S117" s="207">
        <f t="shared" ca="1" si="115"/>
        <v>6380</v>
      </c>
      <c r="T117" s="207">
        <f t="shared" ca="1" si="115"/>
        <v>6330</v>
      </c>
      <c r="U117" s="207">
        <f t="shared" ca="1" si="115"/>
        <v>6362</v>
      </c>
      <c r="V117" s="207">
        <f t="shared" ca="1" si="115"/>
        <v>6380</v>
      </c>
      <c r="W117" s="207">
        <f t="shared" ca="1" si="115"/>
        <v>6380</v>
      </c>
      <c r="X117" s="207">
        <f ca="1">IFERROR(ROUND(X89+X56,0),0)</f>
        <v>6380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95.1086839266451</v>
      </c>
      <c r="L118" s="210">
        <f t="shared" ref="L118:W118" ca="1" si="118">IFERROR((L117/L120)*L119,0)</f>
        <v>104.31186678704</v>
      </c>
      <c r="M118" s="210">
        <f t="shared" ca="1" si="118"/>
        <v>129.002207505519</v>
      </c>
      <c r="N118" s="210">
        <f t="shared" ca="1" si="118"/>
        <v>112.300081322852</v>
      </c>
      <c r="O118" s="210">
        <f t="shared" ca="1" si="118"/>
        <v>116.058307342602</v>
      </c>
      <c r="P118" s="210">
        <f t="shared" ca="1" si="118"/>
        <v>117.491550980086</v>
      </c>
      <c r="Q118" s="210">
        <f t="shared" ca="1" si="118"/>
        <v>111.594645301962</v>
      </c>
      <c r="R118" s="210">
        <f t="shared" ca="1" si="118"/>
        <v>109.10707420223</v>
      </c>
      <c r="S118" s="210">
        <f t="shared" ca="1" si="118"/>
        <v>102.355940398224</v>
      </c>
      <c r="T118" s="210">
        <f t="shared" ca="1" si="118"/>
        <v>101.553777855918</v>
      </c>
      <c r="U118" s="210">
        <f t="shared" ca="1" si="118"/>
        <v>102.346797942948</v>
      </c>
      <c r="V118" s="210">
        <f t="shared" ca="1" si="118"/>
        <v>102.355940398224</v>
      </c>
      <c r="W118" s="210">
        <f t="shared" ca="1" si="118"/>
        <v>102.355940398224</v>
      </c>
      <c r="X118" s="210">
        <f ca="1">IFERROR((X117/X120)*X119,0)</f>
        <v>102.355940398224</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4831</v>
      </c>
      <c r="L122" s="31">
        <f t="shared" ref="L122:W122" ca="1" si="124">L117</f>
        <v>5698</v>
      </c>
      <c r="M122" s="31">
        <f t="shared" ca="1" si="124"/>
        <v>6706</v>
      </c>
      <c r="N122" s="31">
        <f t="shared" ca="1" si="124"/>
        <v>5675</v>
      </c>
      <c r="O122" s="31">
        <f t="shared" ca="1" si="124"/>
        <v>6015</v>
      </c>
      <c r="P122" s="31">
        <f t="shared" ca="1" si="124"/>
        <v>6191</v>
      </c>
      <c r="Q122" s="31">
        <f t="shared" ca="1" si="124"/>
        <v>6013</v>
      </c>
      <c r="R122" s="31">
        <f t="shared" ca="1" si="124"/>
        <v>6220</v>
      </c>
      <c r="S122" s="31">
        <f t="shared" ca="1" si="124"/>
        <v>6380</v>
      </c>
      <c r="T122" s="31">
        <f t="shared" ca="1" si="124"/>
        <v>6330</v>
      </c>
      <c r="U122" s="31">
        <f t="shared" ca="1" si="124"/>
        <v>6362</v>
      </c>
      <c r="V122" s="31">
        <f t="shared" ca="1" si="124"/>
        <v>6380</v>
      </c>
      <c r="W122" s="31">
        <f t="shared" ca="1" si="124"/>
        <v>6380</v>
      </c>
      <c r="X122" s="31">
        <f ca="1">X117</f>
        <v>6380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-1461</v>
      </c>
      <c r="L125" s="31">
        <f t="shared" ref="L125:W125" ca="1" si="127">ROUND(L104+L113-L122,0)</f>
        <v>-2114</v>
      </c>
      <c r="M125" s="31">
        <f t="shared" ca="1" si="127"/>
        <v>-2224</v>
      </c>
      <c r="N125" s="31">
        <f t="shared" ca="1" si="127"/>
        <v>-1877</v>
      </c>
      <c r="O125" s="31">
        <f t="shared" ca="1" si="127"/>
        <v>-1944</v>
      </c>
      <c r="P125" s="31">
        <f t="shared" ca="1" si="127"/>
        <v>-1926</v>
      </c>
      <c r="Q125" s="31">
        <f t="shared" ca="1" si="127"/>
        <v>-1722</v>
      </c>
      <c r="R125" s="31">
        <f t="shared" ca="1" si="127"/>
        <v>-1548</v>
      </c>
      <c r="S125" s="31">
        <f t="shared" ca="1" si="127"/>
        <v>-1095</v>
      </c>
      <c r="T125" s="31">
        <f t="shared" ca="1" si="127"/>
        <v>-1045</v>
      </c>
      <c r="U125" s="31">
        <f t="shared" ca="1" si="127"/>
        <v>-1092</v>
      </c>
      <c r="V125" s="31">
        <f t="shared" ca="1" si="127"/>
        <v>-1095</v>
      </c>
      <c r="W125" s="31">
        <f t="shared" ca="1" si="127"/>
        <v>-1095</v>
      </c>
      <c r="X125" s="31">
        <f ca="1">ROUND(X104+X113-X122,0)</f>
        <v>-1095</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-1197</v>
      </c>
      <c r="L126" s="102">
        <f t="shared" ref="L126:W126" ca="1" si="130">ROUND(K125-L125,0)</f>
        <v>653</v>
      </c>
      <c r="M126" s="102">
        <f t="shared" ca="1" si="130"/>
        <v>110</v>
      </c>
      <c r="N126" s="102">
        <f t="shared" ca="1" si="130"/>
        <v>-347</v>
      </c>
      <c r="O126" s="102">
        <f t="shared" ca="1" si="130"/>
        <v>67</v>
      </c>
      <c r="P126" s="102">
        <f t="shared" ca="1" si="130"/>
        <v>-18</v>
      </c>
      <c r="Q126" s="102">
        <f t="shared" ca="1" si="130"/>
        <v>-204</v>
      </c>
      <c r="R126" s="102">
        <f t="shared" ca="1" si="130"/>
        <v>-174</v>
      </c>
      <c r="S126" s="102">
        <f t="shared" ca="1" si="130"/>
        <v>-453</v>
      </c>
      <c r="T126" s="102">
        <f t="shared" ca="1" si="130"/>
        <v>-50</v>
      </c>
      <c r="U126" s="102">
        <f t="shared" ca="1" si="130"/>
        <v>47</v>
      </c>
      <c r="V126" s="102">
        <f t="shared" ca="1" si="130"/>
        <v>3</v>
      </c>
      <c r="W126" s="102">
        <f t="shared" ca="1" si="130"/>
        <v>0</v>
      </c>
      <c r="X126" s="102">
        <f ca="1">ROUND(W125-X125,0)</f>
        <v>0</v>
      </c>
      <c r="Y126" s="102">
        <f t="shared" ref="Y126:AA126" ca="1" si="131">ROUND(X125-Y125,0)</f>
        <v>-1095</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1</v>
      </c>
    </row>
    <row r="161" spans="2:31" hidden="1">
      <c r="B161" s="21" t="s">
        <v>644</v>
      </c>
      <c r="C161" s="21"/>
      <c r="D161" s="21"/>
      <c r="E161" s="21"/>
      <c r="F161" s="21"/>
      <c r="G161" s="298">
        <v>1</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2534</v>
      </c>
      <c r="M27" s="102">
        <f ca="1">IF(ISBLANK(DaneBiezace),IF('Ocena kondycji finansowej'!K70&gt;0,'Ocena kondycji finansowej'!K70,0),IF('Ocena kondycji finansowej'!L70&gt;0,'Ocena kondycji finansowej'!L70,0))</f>
        <v>4075</v>
      </c>
      <c r="N27" s="102">
        <f ca="1">IF(ISBLANK(DaneBiezace),IF('Ocena kondycji finansowej'!L70&gt;0,'Ocena kondycji finansowej'!L70,0),IF('Ocena kondycji finansowej'!M70&gt;0,'Ocena kondycji finansowej'!M70,0))</f>
        <v>5264</v>
      </c>
      <c r="O27" s="102">
        <f ca="1">IF(ISBLANK(DaneBiezace),IF('Ocena kondycji finansowej'!M70&gt;0,'Ocena kondycji finansowej'!M70,0),IF('Ocena kondycji finansowej'!N70&gt;0,'Ocena kondycji finansowej'!N70,0))</f>
        <v>5967</v>
      </c>
      <c r="P27" s="102">
        <f ca="1">IF(ISBLANK(DaneBiezace),IF('Ocena kondycji finansowej'!N70&gt;0,'Ocena kondycji finansowej'!N70,0),IF('Ocena kondycji finansowej'!O70&gt;0,'Ocena kondycji finansowej'!O70,0))</f>
        <v>7110</v>
      </c>
      <c r="Q27" s="102">
        <f ca="1">IF(ISBLANK(DaneBiezace),IF('Ocena kondycji finansowej'!O70&gt;0,'Ocena kondycji finansowej'!O70,0),IF('Ocena kondycji finansowej'!P70&gt;0,'Ocena kondycji finansowej'!P70,0))</f>
        <v>8156</v>
      </c>
      <c r="R27" s="102">
        <f ca="1">IF(ISBLANK(DaneBiezace),IF('Ocena kondycji finansowej'!P70&gt;0,'Ocena kondycji finansowej'!P70,0),IF('Ocena kondycji finansowej'!Q70&gt;0,'Ocena kondycji finansowej'!Q70,0))</f>
        <v>9060</v>
      </c>
      <c r="S27" s="102">
        <f ca="1">IF(ISBLANK(DaneBiezace),IF('Ocena kondycji finansowej'!Q70&gt;0,'Ocena kondycji finansowej'!Q70,0),IF('Ocena kondycji finansowej'!R70&gt;0,'Ocena kondycji finansowej'!R70,0))</f>
        <v>10116</v>
      </c>
      <c r="T27" s="102">
        <f ca="1">IF(ISBLANK(DaneBiezace),IF('Ocena kondycji finansowej'!R70&gt;0,'Ocena kondycji finansowej'!R70,0),IF('Ocena kondycji finansowej'!S70&gt;0,'Ocena kondycji finansowej'!S70,0))</f>
        <v>11119</v>
      </c>
      <c r="U27" s="102">
        <f ca="1">IF(ISBLANK(DaneBiezace),IF('Ocena kondycji finansowej'!S70&gt;0,'Ocena kondycji finansowej'!S70,0),IF('Ocena kondycji finansowej'!T70&gt;0,'Ocena kondycji finansowej'!T70,0))</f>
        <v>12072</v>
      </c>
      <c r="V27" s="102">
        <f ca="1">IF(ISBLANK(DaneBiezace),IF('Ocena kondycji finansowej'!T70&gt;0,'Ocena kondycji finansowej'!T70,0),IF('Ocena kondycji finansowej'!U70&gt;0,'Ocena kondycji finansowej'!U70,0))</f>
        <v>13119</v>
      </c>
      <c r="W27" s="102">
        <f ca="1">IF(ISBLANK(DaneBiezace),IF('Ocena kondycji finansowej'!U70&gt;0,'Ocena kondycji finansowej'!U70,0),IF('Ocena kondycji finansowej'!V70&gt;0,'Ocena kondycji finansowej'!V70,0))</f>
        <v>14128</v>
      </c>
      <c r="X27" s="102">
        <f ca="1">IF(ISBLANK(DaneBiezace),IF('Ocena kondycji finansowej'!V70&gt;0,'Ocena kondycji finansowej'!V70,0),IF('Ocena kondycji finansowej'!W70&gt;0,'Ocena kondycji finansowej'!W70,0))</f>
        <v>15131</v>
      </c>
      <c r="Y27" s="102">
        <f ca="1">IF(ISBLANK(DaneBiezace),IF('Ocena kondycji finansowej'!W70&gt;0,'Ocena kondycji finansowej'!W70,0),IF('Ocena kondycji finansowej'!X70&gt;0,'Ocena kondycji finansowej'!X70,0))</f>
        <v>16134</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2534</v>
      </c>
      <c r="M79" s="94">
        <f ca="1">IF(LataProjekcji&lt;=Koniec,'Ocena kondycji finansowej'!L70,0)</f>
        <v>4075</v>
      </c>
      <c r="N79" s="94">
        <f ca="1">IF(LataProjekcji&lt;=Koniec,'Ocena kondycji finansowej'!M70,0)</f>
        <v>5264</v>
      </c>
      <c r="O79" s="94">
        <f ca="1">IF(LataProjekcji&lt;=Koniec,'Ocena kondycji finansowej'!N70,0)</f>
        <v>5967</v>
      </c>
      <c r="P79" s="94">
        <f ca="1">IF(LataProjekcji&lt;=Koniec,'Ocena kondycji finansowej'!O70,0)</f>
        <v>7110</v>
      </c>
      <c r="Q79" s="94">
        <f ca="1">IF(LataProjekcji&lt;=Koniec,'Ocena kondycji finansowej'!P70,0)</f>
        <v>8156</v>
      </c>
      <c r="R79" s="94">
        <f ca="1">IF(LataProjekcji&lt;=Koniec,'Ocena kondycji finansowej'!Q70,0)</f>
        <v>9060</v>
      </c>
      <c r="S79" s="94">
        <f ca="1">IF(LataProjekcji&lt;=Koniec,'Ocena kondycji finansowej'!R70,0)</f>
        <v>10116</v>
      </c>
      <c r="T79" s="94">
        <f ca="1">IF(LataProjekcji&lt;=Koniec,'Ocena kondycji finansowej'!S70,0)</f>
        <v>11119</v>
      </c>
      <c r="U79" s="94">
        <f ca="1">IF(LataProjekcji&lt;=Koniec,'Ocena kondycji finansowej'!T70,0)</f>
        <v>12072</v>
      </c>
      <c r="V79" s="94">
        <f ca="1">IF(LataProjekcji&lt;=Koniec,'Ocena kondycji finansowej'!U70,0)</f>
        <v>13119</v>
      </c>
      <c r="W79" s="94">
        <f ca="1">IF(LataProjekcji&lt;=Koniec,'Ocena kondycji finansowej'!V70,0)</f>
        <v>14128</v>
      </c>
      <c r="X79" s="94">
        <f ca="1">IF(LataProjekcji&lt;=Koniec,'Ocena kondycji finansowej'!W70,0)</f>
        <v>15131</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5904</v>
      </c>
      <c r="L65" s="97">
        <f t="shared" ca="1" si="50"/>
        <v>7659</v>
      </c>
      <c r="M65" s="97">
        <f t="shared" ca="1" si="50"/>
        <v>9746</v>
      </c>
      <c r="N65" s="97">
        <f t="shared" ca="1" si="50"/>
        <v>9765</v>
      </c>
      <c r="O65" s="97">
        <f t="shared" ca="1" si="50"/>
        <v>11069</v>
      </c>
      <c r="P65" s="97">
        <f t="shared" ca="1" si="50"/>
        <v>12222</v>
      </c>
      <c r="Q65" s="97">
        <f t="shared" ca="1" si="50"/>
        <v>13008</v>
      </c>
      <c r="R65" s="97">
        <f t="shared" ca="1" si="50"/>
        <v>14128</v>
      </c>
      <c r="S65" s="97">
        <f t="shared" ca="1" si="50"/>
        <v>15131</v>
      </c>
      <c r="T65" s="97">
        <f t="shared" ca="1" si="50"/>
        <v>16084</v>
      </c>
      <c r="U65" s="97">
        <f t="shared" ca="1" si="50"/>
        <v>17120</v>
      </c>
      <c r="V65" s="97">
        <f t="shared" ca="1" si="50"/>
        <v>18140</v>
      </c>
      <c r="W65" s="97">
        <f t="shared" ca="1" si="50"/>
        <v>19143</v>
      </c>
      <c r="X65" s="97">
        <f t="shared" ref="X65" ca="1" si="51">ROUND(X66+X67+X69+X72,0)</f>
        <v>20146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3370</v>
      </c>
      <c r="L67" s="33">
        <f t="shared" ref="L67:AE67" ca="1" si="54">L68</f>
        <v>3584</v>
      </c>
      <c r="M67" s="33">
        <f t="shared" ca="1" si="54"/>
        <v>4482</v>
      </c>
      <c r="N67" s="33">
        <f t="shared" ca="1" si="54"/>
        <v>3798</v>
      </c>
      <c r="O67" s="33">
        <f t="shared" ca="1" si="54"/>
        <v>3959</v>
      </c>
      <c r="P67" s="33">
        <f t="shared" ca="1" si="54"/>
        <v>4066</v>
      </c>
      <c r="Q67" s="33">
        <f t="shared" ca="1" si="54"/>
        <v>3948</v>
      </c>
      <c r="R67" s="33">
        <f t="shared" ca="1" si="54"/>
        <v>4012</v>
      </c>
      <c r="S67" s="33">
        <f t="shared" ca="1" si="54"/>
        <v>4012</v>
      </c>
      <c r="T67" s="33">
        <f t="shared" ca="1" si="54"/>
        <v>4012</v>
      </c>
      <c r="U67" s="33">
        <f t="shared" ca="1" si="54"/>
        <v>4001</v>
      </c>
      <c r="V67" s="33">
        <f t="shared" ca="1" si="54"/>
        <v>4012</v>
      </c>
      <c r="W67" s="33">
        <f t="shared" ca="1" si="54"/>
        <v>4012</v>
      </c>
      <c r="X67" s="33">
        <f t="shared" ca="1" si="54"/>
        <v>4012</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3370</v>
      </c>
      <c r="L68" s="41">
        <f ca="1">IF(L$12&lt;=Koniec,'Kapitał pracujący'!L41,0)</f>
        <v>3584</v>
      </c>
      <c r="M68" s="41">
        <f ca="1">IF(M$12&lt;=Koniec,'Kapitał pracujący'!M41,0)</f>
        <v>4482</v>
      </c>
      <c r="N68" s="41">
        <f ca="1">IF(N$12&lt;=Koniec,'Kapitał pracujący'!N41,0)</f>
        <v>3798</v>
      </c>
      <c r="O68" s="41">
        <f ca="1">IF(O$12&lt;=Koniec,'Kapitał pracujący'!O41,0)</f>
        <v>3959</v>
      </c>
      <c r="P68" s="41">
        <f ca="1">IF(P$12&lt;=Koniec,'Kapitał pracujący'!P41,0)</f>
        <v>4066</v>
      </c>
      <c r="Q68" s="41">
        <f ca="1">IF(Q$12&lt;=Koniec,'Kapitał pracujący'!Q41,0)</f>
        <v>3948</v>
      </c>
      <c r="R68" s="41">
        <f ca="1">IF(R$12&lt;=Koniec,'Kapitał pracujący'!R41,0)</f>
        <v>4012</v>
      </c>
      <c r="S68" s="41">
        <f ca="1">IF(S$12&lt;=Koniec,'Kapitał pracujący'!S41,0)</f>
        <v>4012</v>
      </c>
      <c r="T68" s="41">
        <f ca="1">IF(T$12&lt;=Koniec,'Kapitał pracujący'!T41,0)</f>
        <v>4012</v>
      </c>
      <c r="U68" s="41">
        <f ca="1">IF(U$12&lt;=Koniec,'Kapitał pracujący'!U41,0)</f>
        <v>4001</v>
      </c>
      <c r="V68" s="41">
        <f ca="1">IF(V$12&lt;=Koniec,'Kapitał pracujący'!V41,0)</f>
        <v>4012</v>
      </c>
      <c r="W68" s="41">
        <f ca="1">IF(W$12&lt;=Koniec,'Kapitał pracujący'!W41,0)</f>
        <v>4012</v>
      </c>
      <c r="X68" s="41">
        <f ca="1">IF(X$12&lt;=Koniec,'Kapitał pracujący'!X41,0)</f>
        <v>4012</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2534</v>
      </c>
      <c r="L69" s="33">
        <f t="shared" ref="L69:V69" ca="1" si="55">L70+L71</f>
        <v>4075</v>
      </c>
      <c r="M69" s="33">
        <f t="shared" ca="1" si="55"/>
        <v>5264</v>
      </c>
      <c r="N69" s="33">
        <f t="shared" ca="1" si="55"/>
        <v>5967</v>
      </c>
      <c r="O69" s="33">
        <f t="shared" ca="1" si="55"/>
        <v>7110</v>
      </c>
      <c r="P69" s="33">
        <f t="shared" ca="1" si="55"/>
        <v>8156</v>
      </c>
      <c r="Q69" s="33">
        <f t="shared" ca="1" si="55"/>
        <v>9060</v>
      </c>
      <c r="R69" s="33">
        <f t="shared" ca="1" si="55"/>
        <v>10116</v>
      </c>
      <c r="S69" s="33">
        <f t="shared" ca="1" si="55"/>
        <v>11119</v>
      </c>
      <c r="T69" s="33">
        <f t="shared" ca="1" si="55"/>
        <v>12072</v>
      </c>
      <c r="U69" s="33">
        <f t="shared" ca="1" si="55"/>
        <v>13119</v>
      </c>
      <c r="V69" s="33">
        <f t="shared" ca="1" si="55"/>
        <v>14128</v>
      </c>
      <c r="W69" s="33">
        <f t="shared" ref="W69:X69" ca="1" si="56">W70+W71</f>
        <v>15131</v>
      </c>
      <c r="X69" s="33">
        <f t="shared" ca="1" si="56"/>
        <v>16134</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2534</v>
      </c>
      <c r="L70" s="41">
        <f t="shared" ref="L70:AE70" ca="1" si="59">IF(L$12&lt;=Koniec,L123-L71,0)</f>
        <v>4075</v>
      </c>
      <c r="M70" s="41">
        <f t="shared" ca="1" si="59"/>
        <v>5264</v>
      </c>
      <c r="N70" s="41">
        <f t="shared" ca="1" si="59"/>
        <v>5967</v>
      </c>
      <c r="O70" s="41">
        <f t="shared" ca="1" si="59"/>
        <v>7110</v>
      </c>
      <c r="P70" s="41">
        <f t="shared" ca="1" si="59"/>
        <v>8156</v>
      </c>
      <c r="Q70" s="41">
        <f t="shared" ca="1" si="59"/>
        <v>9060</v>
      </c>
      <c r="R70" s="41">
        <f t="shared" ca="1" si="59"/>
        <v>10116</v>
      </c>
      <c r="S70" s="41">
        <f t="shared" ca="1" si="59"/>
        <v>11119</v>
      </c>
      <c r="T70" s="41">
        <f t="shared" ca="1" si="59"/>
        <v>12072</v>
      </c>
      <c r="U70" s="41">
        <f t="shared" ca="1" si="59"/>
        <v>13119</v>
      </c>
      <c r="V70" s="41">
        <f t="shared" ca="1" si="59"/>
        <v>14128</v>
      </c>
      <c r="W70" s="41">
        <f t="shared" ca="1" si="59"/>
        <v>15131</v>
      </c>
      <c r="X70" s="41">
        <f t="shared" ca="1" si="59"/>
        <v>16134</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5904</v>
      </c>
      <c r="L73" s="97">
        <f t="shared" ca="1" si="60"/>
        <v>7659</v>
      </c>
      <c r="M73" s="97">
        <f t="shared" ca="1" si="60"/>
        <v>9746</v>
      </c>
      <c r="N73" s="97">
        <f t="shared" ca="1" si="60"/>
        <v>9765</v>
      </c>
      <c r="O73" s="97">
        <f t="shared" ca="1" si="60"/>
        <v>11069</v>
      </c>
      <c r="P73" s="97">
        <f t="shared" ca="1" si="60"/>
        <v>12222</v>
      </c>
      <c r="Q73" s="97">
        <f t="shared" ca="1" si="60"/>
        <v>13008</v>
      </c>
      <c r="R73" s="97">
        <f t="shared" ca="1" si="60"/>
        <v>14128</v>
      </c>
      <c r="S73" s="97">
        <f t="shared" ca="1" si="60"/>
        <v>15131</v>
      </c>
      <c r="T73" s="97">
        <f t="shared" ca="1" si="60"/>
        <v>16084</v>
      </c>
      <c r="U73" s="97">
        <f t="shared" ca="1" si="60"/>
        <v>17120</v>
      </c>
      <c r="V73" s="97">
        <f t="shared" ca="1" si="60"/>
        <v>18140</v>
      </c>
      <c r="W73" s="97">
        <f t="shared" ca="1" si="60"/>
        <v>19143</v>
      </c>
      <c r="X73" s="97">
        <f t="shared" ref="X73" ca="1" si="61">ROUND(X65+X47,0)</f>
        <v>20146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4810</v>
      </c>
      <c r="L82" s="97">
        <f t="shared" ca="1" si="81"/>
        <v>5562</v>
      </c>
      <c r="M82" s="97">
        <f t="shared" ca="1" si="81"/>
        <v>6646</v>
      </c>
      <c r="N82" s="97">
        <f t="shared" ca="1" si="81"/>
        <v>5662</v>
      </c>
      <c r="O82" s="97">
        <f t="shared" ca="1" si="81"/>
        <v>5963</v>
      </c>
      <c r="P82" s="97">
        <f t="shared" ca="1" si="81"/>
        <v>6113</v>
      </c>
      <c r="Q82" s="97">
        <f t="shared" ca="1" si="81"/>
        <v>5896</v>
      </c>
      <c r="R82" s="97">
        <f t="shared" ca="1" si="81"/>
        <v>6013</v>
      </c>
      <c r="S82" s="97">
        <f t="shared" ca="1" si="81"/>
        <v>6013</v>
      </c>
      <c r="T82" s="97">
        <f t="shared" ca="1" si="81"/>
        <v>5963</v>
      </c>
      <c r="U82" s="97">
        <f t="shared" ca="1" si="81"/>
        <v>5996</v>
      </c>
      <c r="V82" s="97">
        <f t="shared" ca="1" si="81"/>
        <v>6013</v>
      </c>
      <c r="W82" s="97">
        <f t="shared" ca="1" si="81"/>
        <v>6013</v>
      </c>
      <c r="X82" s="97">
        <f t="shared" ca="1" si="81"/>
        <v>6013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4810</v>
      </c>
      <c r="L87" s="33">
        <f t="shared" ca="1" si="83"/>
        <v>5562</v>
      </c>
      <c r="M87" s="33">
        <f t="shared" ca="1" si="83"/>
        <v>6646</v>
      </c>
      <c r="N87" s="33">
        <f t="shared" ca="1" si="83"/>
        <v>5662</v>
      </c>
      <c r="O87" s="33">
        <f t="shared" ca="1" si="83"/>
        <v>5963</v>
      </c>
      <c r="P87" s="33">
        <f t="shared" ca="1" si="83"/>
        <v>6113</v>
      </c>
      <c r="Q87" s="33">
        <f t="shared" ca="1" si="83"/>
        <v>5896</v>
      </c>
      <c r="R87" s="33">
        <f t="shared" ca="1" si="83"/>
        <v>6013</v>
      </c>
      <c r="S87" s="33">
        <f t="shared" ca="1" si="83"/>
        <v>6013</v>
      </c>
      <c r="T87" s="33">
        <f t="shared" ca="1" si="83"/>
        <v>5963</v>
      </c>
      <c r="U87" s="33">
        <f t="shared" ca="1" si="83"/>
        <v>5996</v>
      </c>
      <c r="V87" s="33">
        <f t="shared" ca="1" si="83"/>
        <v>6013</v>
      </c>
      <c r="W87" s="33">
        <f t="shared" ca="1" si="83"/>
        <v>6013</v>
      </c>
      <c r="X87" s="33">
        <f t="shared" ca="1" si="83"/>
        <v>6013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4810</v>
      </c>
      <c r="L88" s="446">
        <f ca="1">IF(L$12&lt;=Koniec,'Kapitał pracujący'!L56,0)</f>
        <v>5562</v>
      </c>
      <c r="M88" s="446">
        <f ca="1">IF(M$12&lt;=Koniec,'Kapitał pracujący'!M56,0)</f>
        <v>6646</v>
      </c>
      <c r="N88" s="446">
        <f ca="1">IF(N$12&lt;=Koniec,'Kapitał pracujący'!N56,0)</f>
        <v>5662</v>
      </c>
      <c r="O88" s="446">
        <f ca="1">IF(O$12&lt;=Koniec,'Kapitał pracujący'!O56,0)</f>
        <v>5963</v>
      </c>
      <c r="P88" s="446">
        <f ca="1">IF(P$12&lt;=Koniec,'Kapitał pracujący'!P56,0)</f>
        <v>6113</v>
      </c>
      <c r="Q88" s="446">
        <f ca="1">IF(Q$12&lt;=Koniec,'Kapitał pracujący'!Q56,0)</f>
        <v>5896</v>
      </c>
      <c r="R88" s="446">
        <f ca="1">IF(R$12&lt;=Koniec,'Kapitał pracujący'!R56,0)</f>
        <v>6013</v>
      </c>
      <c r="S88" s="446">
        <f ca="1">IF(S$12&lt;=Koniec,'Kapitał pracujący'!S56,0)</f>
        <v>6013</v>
      </c>
      <c r="T88" s="446">
        <f ca="1">IF(T$12&lt;=Koniec,'Kapitał pracujący'!T56,0)</f>
        <v>5963</v>
      </c>
      <c r="U88" s="446">
        <f ca="1">IF(U$12&lt;=Koniec,'Kapitał pracujący'!U56,0)</f>
        <v>5996</v>
      </c>
      <c r="V88" s="446">
        <f ca="1">IF(V$12&lt;=Koniec,'Kapitał pracujący'!V56,0)</f>
        <v>6013</v>
      </c>
      <c r="W88" s="446">
        <f ca="1">IF(W$12&lt;=Koniec,'Kapitał pracujący'!W56,0)</f>
        <v>6013</v>
      </c>
      <c r="X88" s="446">
        <f ca="1">IF(X$12&lt;=Koniec,'Kapitał pracujący'!X56,0)</f>
        <v>6013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5905</v>
      </c>
      <c r="L94" s="97">
        <f t="shared" ca="1" si="88"/>
        <v>7660</v>
      </c>
      <c r="M94" s="97">
        <f t="shared" ca="1" si="88"/>
        <v>9747</v>
      </c>
      <c r="N94" s="97">
        <f t="shared" ca="1" si="88"/>
        <v>9766</v>
      </c>
      <c r="O94" s="97">
        <f t="shared" ca="1" si="88"/>
        <v>11070</v>
      </c>
      <c r="P94" s="97">
        <f t="shared" ca="1" si="88"/>
        <v>12223</v>
      </c>
      <c r="Q94" s="97">
        <f t="shared" ca="1" si="88"/>
        <v>13009</v>
      </c>
      <c r="R94" s="97">
        <f t="shared" ca="1" si="88"/>
        <v>14129</v>
      </c>
      <c r="S94" s="97">
        <f t="shared" ca="1" si="88"/>
        <v>15132</v>
      </c>
      <c r="T94" s="97">
        <f t="shared" ca="1" si="88"/>
        <v>16085</v>
      </c>
      <c r="U94" s="97">
        <f t="shared" ca="1" si="88"/>
        <v>17121</v>
      </c>
      <c r="V94" s="97">
        <f t="shared" ca="1" si="88"/>
        <v>18141</v>
      </c>
      <c r="W94" s="97">
        <f t="shared" ca="1" si="88"/>
        <v>19144</v>
      </c>
      <c r="X94" s="97">
        <f t="shared" ca="1" si="88"/>
        <v>20147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-233</v>
      </c>
      <c r="L99" s="97">
        <f t="shared" ref="L99:X99" ca="1" si="92">IF(L$12&lt;=Koniec,ROUND(SUM(L100:L106),0),0)</f>
        <v>1541</v>
      </c>
      <c r="M99" s="97">
        <f t="shared" ca="1" si="92"/>
        <v>1189</v>
      </c>
      <c r="N99" s="97">
        <f t="shared" ca="1" si="92"/>
        <v>703</v>
      </c>
      <c r="O99" s="97">
        <f t="shared" ca="1" si="92"/>
        <v>1143</v>
      </c>
      <c r="P99" s="97">
        <f t="shared" ca="1" si="92"/>
        <v>1046</v>
      </c>
      <c r="Q99" s="97">
        <f t="shared" ca="1" si="92"/>
        <v>904</v>
      </c>
      <c r="R99" s="97">
        <f t="shared" ca="1" si="92"/>
        <v>1056</v>
      </c>
      <c r="S99" s="97">
        <f t="shared" ca="1" si="92"/>
        <v>1003</v>
      </c>
      <c r="T99" s="97">
        <f t="shared" ca="1" si="92"/>
        <v>953</v>
      </c>
      <c r="U99" s="97">
        <f t="shared" ca="1" si="92"/>
        <v>1047</v>
      </c>
      <c r="V99" s="97">
        <f t="shared" ca="1" si="92"/>
        <v>1009</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1485</v>
      </c>
      <c r="L103" s="33">
        <f t="shared" ref="L103:AE103" ca="1" si="100">IF(L$12&lt;=Koniec,K67-L67,0)</f>
        <v>-214</v>
      </c>
      <c r="M103" s="33">
        <f t="shared" ca="1" si="100"/>
        <v>-898</v>
      </c>
      <c r="N103" s="33">
        <f t="shared" ca="1" si="100"/>
        <v>684</v>
      </c>
      <c r="O103" s="33">
        <f t="shared" ca="1" si="100"/>
        <v>-161</v>
      </c>
      <c r="P103" s="33">
        <f t="shared" ca="1" si="100"/>
        <v>-107</v>
      </c>
      <c r="Q103" s="33">
        <f t="shared" ca="1" si="100"/>
        <v>118</v>
      </c>
      <c r="R103" s="33">
        <f t="shared" ca="1" si="100"/>
        <v>-64</v>
      </c>
      <c r="S103" s="33">
        <f t="shared" ca="1" si="100"/>
        <v>0</v>
      </c>
      <c r="T103" s="33">
        <f t="shared" ca="1" si="100"/>
        <v>0</v>
      </c>
      <c r="U103" s="33">
        <f t="shared" ca="1" si="100"/>
        <v>11</v>
      </c>
      <c r="V103" s="33">
        <f t="shared" ca="1" si="100"/>
        <v>-11</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-2728</v>
      </c>
      <c r="L104" s="33">
        <f t="shared" ref="L104:AE104" ca="1" si="101">IF(L$12&lt;=Koniec,(L87-K87)-(L89-K89),0)</f>
        <v>752</v>
      </c>
      <c r="M104" s="33">
        <f t="shared" ca="1" si="101"/>
        <v>1084</v>
      </c>
      <c r="N104" s="33">
        <f t="shared" ca="1" si="101"/>
        <v>-984</v>
      </c>
      <c r="O104" s="33">
        <f t="shared" ca="1" si="101"/>
        <v>301</v>
      </c>
      <c r="P104" s="33">
        <f t="shared" ca="1" si="101"/>
        <v>150</v>
      </c>
      <c r="Q104" s="33">
        <f t="shared" ca="1" si="101"/>
        <v>-217</v>
      </c>
      <c r="R104" s="33">
        <f t="shared" ca="1" si="101"/>
        <v>117</v>
      </c>
      <c r="S104" s="33">
        <f t="shared" ca="1" si="101"/>
        <v>0</v>
      </c>
      <c r="T104" s="33">
        <f t="shared" ca="1" si="101"/>
        <v>-50</v>
      </c>
      <c r="U104" s="33">
        <f t="shared" ca="1" si="101"/>
        <v>33</v>
      </c>
      <c r="V104" s="33">
        <f t="shared" ca="1" si="101"/>
        <v>17</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-233</v>
      </c>
      <c r="L121" s="97">
        <f t="shared" ref="L121:X121" ca="1" si="116">IF(L$12&lt;=Koniec,ROUND(L99+L108+L112,0),0)</f>
        <v>1541</v>
      </c>
      <c r="M121" s="97">
        <f t="shared" ca="1" si="116"/>
        <v>1189</v>
      </c>
      <c r="N121" s="97">
        <f t="shared" ca="1" si="116"/>
        <v>703</v>
      </c>
      <c r="O121" s="97">
        <f t="shared" ca="1" si="116"/>
        <v>1143</v>
      </c>
      <c r="P121" s="97">
        <f t="shared" ca="1" si="116"/>
        <v>1046</v>
      </c>
      <c r="Q121" s="97">
        <f t="shared" ca="1" si="116"/>
        <v>904</v>
      </c>
      <c r="R121" s="97">
        <f t="shared" ca="1" si="116"/>
        <v>1056</v>
      </c>
      <c r="S121" s="97">
        <f t="shared" ca="1" si="116"/>
        <v>1003</v>
      </c>
      <c r="T121" s="97">
        <f t="shared" ca="1" si="116"/>
        <v>953</v>
      </c>
      <c r="U121" s="97">
        <f t="shared" ca="1" si="116"/>
        <v>1047</v>
      </c>
      <c r="V121" s="97">
        <f t="shared" ca="1" si="116"/>
        <v>1009</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2534</v>
      </c>
      <c r="M122" s="13">
        <f t="shared" ca="1" si="120"/>
        <v>4075</v>
      </c>
      <c r="N122" s="13">
        <f t="shared" ca="1" si="120"/>
        <v>5264</v>
      </c>
      <c r="O122" s="13">
        <f t="shared" ca="1" si="120"/>
        <v>5967</v>
      </c>
      <c r="P122" s="13">
        <f t="shared" ca="1" si="120"/>
        <v>7110</v>
      </c>
      <c r="Q122" s="13">
        <f t="shared" ca="1" si="120"/>
        <v>8156</v>
      </c>
      <c r="R122" s="13">
        <f t="shared" ca="1" si="120"/>
        <v>9060</v>
      </c>
      <c r="S122" s="13">
        <f t="shared" ca="1" si="120"/>
        <v>10116</v>
      </c>
      <c r="T122" s="13">
        <f t="shared" ca="1" si="120"/>
        <v>11119</v>
      </c>
      <c r="U122" s="13">
        <f t="shared" ca="1" si="120"/>
        <v>12072</v>
      </c>
      <c r="V122" s="13">
        <f t="shared" ca="1" si="120"/>
        <v>13119</v>
      </c>
      <c r="W122" s="13">
        <f t="shared" ca="1" si="120"/>
        <v>14128</v>
      </c>
      <c r="X122" s="13">
        <f t="shared" ca="1" si="120"/>
        <v>15131</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2534</v>
      </c>
      <c r="L123" s="97">
        <f t="shared" ref="L123:X123" ca="1" si="129">IF(L$12&lt;=Koniec,ROUND(L121+L122,0),0)</f>
        <v>4075</v>
      </c>
      <c r="M123" s="97">
        <f t="shared" ca="1" si="129"/>
        <v>5264</v>
      </c>
      <c r="N123" s="97">
        <f t="shared" ca="1" si="129"/>
        <v>5967</v>
      </c>
      <c r="O123" s="97">
        <f t="shared" ca="1" si="129"/>
        <v>7110</v>
      </c>
      <c r="P123" s="97">
        <f t="shared" ca="1" si="129"/>
        <v>8156</v>
      </c>
      <c r="Q123" s="97">
        <f t="shared" ca="1" si="129"/>
        <v>9060</v>
      </c>
      <c r="R123" s="97">
        <f t="shared" ca="1" si="129"/>
        <v>10116</v>
      </c>
      <c r="S123" s="97">
        <f t="shared" ca="1" si="129"/>
        <v>11119</v>
      </c>
      <c r="T123" s="97">
        <f t="shared" ca="1" si="129"/>
        <v>12072</v>
      </c>
      <c r="U123" s="97">
        <f t="shared" ca="1" si="129"/>
        <v>13119</v>
      </c>
      <c r="V123" s="97">
        <f t="shared" ca="1" si="129"/>
        <v>14128</v>
      </c>
      <c r="W123" s="97">
        <f t="shared" ca="1" si="129"/>
        <v>15131</v>
      </c>
      <c r="X123" s="97">
        <f t="shared" ca="1" si="129"/>
        <v>16134</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0.1699</v>
      </c>
      <c r="L132" s="167">
        <f t="shared" ca="1" si="137"/>
        <v>0.131</v>
      </c>
      <c r="M132" s="167">
        <f t="shared" ca="1" si="137"/>
        <v>0.10290000000000001</v>
      </c>
      <c r="N132" s="167">
        <f t="shared" ca="1" si="137"/>
        <v>0.1027</v>
      </c>
      <c r="O132" s="167">
        <f t="shared" ca="1" si="137"/>
        <v>9.06E-2</v>
      </c>
      <c r="P132" s="167">
        <f t="shared" ca="1" si="137"/>
        <v>8.2100000000000006E-2</v>
      </c>
      <c r="Q132" s="167">
        <f t="shared" ca="1" si="137"/>
        <v>7.7100000000000002E-2</v>
      </c>
      <c r="R132" s="167">
        <f t="shared" ca="1" si="137"/>
        <v>7.0999999999999994E-2</v>
      </c>
      <c r="S132" s="167">
        <f t="shared" ca="1" si="137"/>
        <v>6.6299999999999998E-2</v>
      </c>
      <c r="T132" s="167">
        <f t="shared" ca="1" si="137"/>
        <v>6.2399999999999997E-2</v>
      </c>
      <c r="U132" s="167">
        <f t="shared" ca="1" si="137"/>
        <v>5.8599999999999999E-2</v>
      </c>
      <c r="V132" s="167">
        <f t="shared" ca="1" si="137"/>
        <v>5.5300000000000002E-2</v>
      </c>
      <c r="W132" s="167">
        <f t="shared" ca="1" si="137"/>
        <v>5.2400000000000002E-2</v>
      </c>
      <c r="X132" s="167">
        <f t="shared" ca="1" si="137"/>
        <v>4.9799999999999997E-2</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0.1854</v>
      </c>
      <c r="L135" s="169">
        <f t="shared" ca="1" si="138"/>
        <v>0.2739</v>
      </c>
      <c r="M135" s="169">
        <f t="shared" ca="1" si="138"/>
        <v>0.3181</v>
      </c>
      <c r="N135" s="169">
        <f t="shared" ca="1" si="138"/>
        <v>0.4202</v>
      </c>
      <c r="O135" s="169">
        <f t="shared" ca="1" si="138"/>
        <v>0.4613</v>
      </c>
      <c r="P135" s="169">
        <f t="shared" ca="1" si="138"/>
        <v>0.4999</v>
      </c>
      <c r="Q135" s="169">
        <f t="shared" ca="1" si="138"/>
        <v>0.5468</v>
      </c>
      <c r="R135" s="169">
        <f t="shared" ca="1" si="138"/>
        <v>0.5744</v>
      </c>
      <c r="S135" s="169">
        <f t="shared" ca="1" si="138"/>
        <v>0.6026</v>
      </c>
      <c r="T135" s="169">
        <f t="shared" ca="1" si="138"/>
        <v>0.6293</v>
      </c>
      <c r="U135" s="169">
        <f t="shared" ca="1" si="138"/>
        <v>0.6498</v>
      </c>
      <c r="V135" s="169">
        <f t="shared" ca="1" si="138"/>
        <v>0.6685</v>
      </c>
      <c r="W135" s="169">
        <f t="shared" ca="1" si="138"/>
        <v>0.6859</v>
      </c>
      <c r="X135" s="169">
        <f t="shared" ca="1" si="138"/>
        <v>0.7015</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0.8146</v>
      </c>
      <c r="L137" s="170">
        <f t="shared" ca="1" si="140"/>
        <v>0.7261</v>
      </c>
      <c r="M137" s="170">
        <f t="shared" ca="1" si="140"/>
        <v>0.6819</v>
      </c>
      <c r="N137" s="170">
        <f t="shared" ca="1" si="140"/>
        <v>0.5798</v>
      </c>
      <c r="O137" s="170">
        <f t="shared" ca="1" si="140"/>
        <v>0.5387</v>
      </c>
      <c r="P137" s="170">
        <f t="shared" ca="1" si="140"/>
        <v>0.5001</v>
      </c>
      <c r="Q137" s="170">
        <f t="shared" ca="1" si="140"/>
        <v>0.4532</v>
      </c>
      <c r="R137" s="170">
        <f t="shared" ca="1" si="140"/>
        <v>0.4256</v>
      </c>
      <c r="S137" s="170">
        <f t="shared" ca="1" si="140"/>
        <v>0.3974</v>
      </c>
      <c r="T137" s="170">
        <f t="shared" ca="1" si="140"/>
        <v>0.3707</v>
      </c>
      <c r="U137" s="170">
        <f t="shared" ca="1" si="140"/>
        <v>0.3502</v>
      </c>
      <c r="V137" s="170">
        <f t="shared" ca="1" si="140"/>
        <v>0.3315</v>
      </c>
      <c r="W137" s="170">
        <f t="shared" ca="1" si="140"/>
        <v>0.3141</v>
      </c>
      <c r="X137" s="170">
        <f t="shared" ca="1" si="140"/>
        <v>0.2985</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1.2274</v>
      </c>
      <c r="L141" s="172">
        <f t="shared" ca="1" si="141"/>
        <v>1.377</v>
      </c>
      <c r="M141" s="172">
        <f t="shared" ca="1" si="141"/>
        <v>1.4664</v>
      </c>
      <c r="N141" s="172">
        <f t="shared" ca="1" si="141"/>
        <v>1.7247</v>
      </c>
      <c r="O141" s="172">
        <f t="shared" ca="1" si="141"/>
        <v>1.8563</v>
      </c>
      <c r="P141" s="172">
        <f t="shared" ca="1" si="141"/>
        <v>1.9993</v>
      </c>
      <c r="Q141" s="172">
        <f t="shared" ca="1" si="141"/>
        <v>2.2062</v>
      </c>
      <c r="R141" s="172">
        <f t="shared" ca="1" si="141"/>
        <v>2.3496</v>
      </c>
      <c r="S141" s="172">
        <f t="shared" ca="1" si="141"/>
        <v>2.5164</v>
      </c>
      <c r="T141" s="172">
        <f t="shared" ca="1" si="141"/>
        <v>2.6973</v>
      </c>
      <c r="U141" s="172">
        <f t="shared" ca="1" si="141"/>
        <v>2.8552</v>
      </c>
      <c r="V141" s="172">
        <f t="shared" ca="1" si="141"/>
        <v>3.0168</v>
      </c>
      <c r="W141" s="172">
        <f t="shared" ca="1" si="141"/>
        <v>3.1836</v>
      </c>
      <c r="X141" s="172">
        <f t="shared" ca="1" si="141"/>
        <v>3.3504</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1.2274</v>
      </c>
      <c r="L142" s="171">
        <f t="shared" ca="1" si="142"/>
        <v>1.377</v>
      </c>
      <c r="M142" s="171">
        <f t="shared" ca="1" si="142"/>
        <v>1.4664</v>
      </c>
      <c r="N142" s="171">
        <f t="shared" ca="1" si="142"/>
        <v>1.7247</v>
      </c>
      <c r="O142" s="171">
        <f t="shared" ca="1" si="142"/>
        <v>1.8563</v>
      </c>
      <c r="P142" s="171">
        <f t="shared" ca="1" si="142"/>
        <v>1.9993</v>
      </c>
      <c r="Q142" s="171">
        <f t="shared" ca="1" si="142"/>
        <v>2.2062</v>
      </c>
      <c r="R142" s="171">
        <f t="shared" ca="1" si="142"/>
        <v>2.3496</v>
      </c>
      <c r="S142" s="171">
        <f t="shared" ca="1" si="142"/>
        <v>2.5164</v>
      </c>
      <c r="T142" s="171">
        <f t="shared" ca="1" si="142"/>
        <v>2.6973</v>
      </c>
      <c r="U142" s="171">
        <f t="shared" ca="1" si="142"/>
        <v>2.8552</v>
      </c>
      <c r="V142" s="171">
        <f t="shared" ca="1" si="142"/>
        <v>3.0168</v>
      </c>
      <c r="W142" s="171">
        <f t="shared" ca="1" si="142"/>
        <v>3.1836</v>
      </c>
      <c r="X142" s="171">
        <f t="shared" ca="1" si="142"/>
        <v>3.3504</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63</v>
      </c>
      <c r="L146" s="10">
        <f ca="1">IFERROR(IF('Kapitał pracujący'!$G$160=1,ROUND((L68/L15)*dni,0),'Kapitał pracujący'!L37),"bd.")</f>
        <v>67</v>
      </c>
      <c r="M146" s="10">
        <f ca="1">IFERROR(IF('Kapitał pracujący'!$G$160=1,ROUND((M68/M15)*dni,0),'Kapitał pracujący'!M37),"bd.")</f>
        <v>84</v>
      </c>
      <c r="N146" s="10">
        <f ca="1">IFERROR(IF('Kapitał pracujący'!$G$160=1,ROUND((N68/N15)*dni,0),'Kapitał pracujący'!N37),"bd.")</f>
        <v>71</v>
      </c>
      <c r="O146" s="10">
        <f ca="1">IFERROR(IF('Kapitał pracujący'!$G$160=1,ROUND((O68/O15)*dni,0),'Kapitał pracujący'!O37),"bd.")</f>
        <v>74</v>
      </c>
      <c r="P146" s="10">
        <f ca="1">IFERROR(IF('Kapitał pracujący'!$G$160=1,ROUND((P68/P15)*dni,0),'Kapitał pracujący'!P37),"bd.")</f>
        <v>76</v>
      </c>
      <c r="Q146" s="10">
        <f ca="1">IFERROR(IF('Kapitał pracujący'!$G$160=1,ROUND((Q68/Q15)*dni,0),'Kapitał pracujący'!Q37),"bd.")</f>
        <v>74</v>
      </c>
      <c r="R146" s="10">
        <f ca="1">IFERROR(IF('Kapitał pracujący'!$G$160=1,ROUND((R68/R15)*dni,0),'Kapitał pracujący'!R37),"bd.")</f>
        <v>75</v>
      </c>
      <c r="S146" s="10">
        <f ca="1">IFERROR(IF('Kapitał pracujący'!$G$160=1,ROUND((S68/S15)*dni,0),'Kapitał pracujący'!S37),"bd.")</f>
        <v>75</v>
      </c>
      <c r="T146" s="10">
        <f ca="1">IFERROR(IF('Kapitał pracujący'!$G$160=1,ROUND((T68/T15)*dni,0),'Kapitał pracujący'!T37),"bd.")</f>
        <v>75</v>
      </c>
      <c r="U146" s="10">
        <f ca="1">IFERROR(IF('Kapitał pracujący'!$G$160=1,ROUND((U68/U15)*dni,0),'Kapitał pracujący'!U37),"bd.")</f>
        <v>75</v>
      </c>
      <c r="V146" s="10">
        <f ca="1">IFERROR(IF('Kapitał pracujący'!$G$160=1,ROUND((V68/V15)*dni,0),'Kapitał pracujący'!V37),"bd.")</f>
        <v>75</v>
      </c>
      <c r="W146" s="10">
        <f ca="1">IFERROR(IF('Kapitał pracujący'!$G$160=1,ROUND((W68/W15)*dni,0),'Kapitał pracujący'!W37),"bd.")</f>
        <v>75</v>
      </c>
      <c r="X146" s="10">
        <f ca="1">IFERROR(IF('Kapitał pracujący'!$G$160=1,ROUND((X68/X15)*dni,0),'Kapitał pracujący'!X37),"bd.")</f>
        <v>75</v>
      </c>
      <c r="Y146" s="10" t="str">
        <f>IFERROR(IF('Kapitał pracujący'!$G$160=1,ROUND((Y68/Y15)*dni,0),'Kapitał pracujący'!Y37),"bd.")</f>
        <v>bd.</v>
      </c>
      <c r="Z146" s="10" t="str">
        <f>IFERROR(IF('Kapitał pracujący'!$G$160=1,ROUND((Z68/Z15)*dni,0),'Kapitał pracujący'!Z37),"bd.")</f>
        <v>bd.</v>
      </c>
      <c r="AA146" s="10" t="str">
        <f>IFERROR(IF('Kapitał pracujący'!$G$160=1,ROUND((AA68/AA15)*dni,0),'Kapitał pracujący'!AA37),"bd.")</f>
        <v>bd.</v>
      </c>
      <c r="AB146" s="10" t="str">
        <f>IFERROR(IF('Kapitał pracujący'!$G$160=1,ROUND((AB68/AB15)*dni,0),'Kapitał pracujący'!AB37),"bd.")</f>
        <v>bd.</v>
      </c>
      <c r="AC146" s="10" t="str">
        <f>IFERROR(IF('Kapitał pracujący'!$G$160=1,ROUND((AC68/AC15)*dni,0),'Kapitał pracujący'!AC37),"bd.")</f>
        <v>bd.</v>
      </c>
      <c r="AD146" s="10" t="str">
        <f>IFERROR(IF('Kapitał pracujący'!$G$160=1,ROUND((AD68/AD15)*dni,0),'Kapitał pracujący'!AD37),"bd.")</f>
        <v>bd.</v>
      </c>
      <c r="AE146" s="10" t="str">
        <f>IFERROR(IF('Kapitał pracujący'!$G$160=1,ROUND((AE68/AE15)*dni,0),'Kapitał pracujący'!AE37),"bd.")</f>
        <v>bd.</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96</v>
      </c>
      <c r="L147" s="10">
        <f ca="1">IFERROR(IF('Kapitał pracujący'!$G$161=1,ROUND((L88/L20)*dni,0),'Kapitał pracujący'!L52),"bd.")</f>
        <v>111</v>
      </c>
      <c r="M147" s="10">
        <f ca="1">IFERROR(IF('Kapitał pracujący'!$G$161=1,ROUND((M88/M20)*dni,0),'Kapitał pracujący'!M52),"bd.")</f>
        <v>133</v>
      </c>
      <c r="N147" s="10">
        <f ca="1">IFERROR(IF('Kapitał pracujący'!$G$161=1,ROUND((N88/N20)*dni,0),'Kapitał pracujący'!N52),"bd.")</f>
        <v>113</v>
      </c>
      <c r="O147" s="10">
        <f ca="1">IFERROR(IF('Kapitał pracujący'!$G$161=1,ROUND((O88/O20)*dni,0),'Kapitał pracujący'!O52),"bd.")</f>
        <v>119</v>
      </c>
      <c r="P147" s="10">
        <f ca="1">IFERROR(IF('Kapitał pracujący'!$G$161=1,ROUND((P88/P20)*dni,0),'Kapitał pracujący'!P52),"bd.")</f>
        <v>122</v>
      </c>
      <c r="Q147" s="10">
        <f ca="1">IFERROR(IF('Kapitał pracujący'!$G$161=1,ROUND((Q88/Q20)*dni,0),'Kapitał pracujący'!Q52),"bd.")</f>
        <v>118</v>
      </c>
      <c r="R147" s="10">
        <f ca="1">IFERROR(IF('Kapitał pracujący'!$G$161=1,ROUND((R88/R20)*dni,0),'Kapitał pracujący'!R52),"bd.")</f>
        <v>120</v>
      </c>
      <c r="S147" s="10">
        <f ca="1">IFERROR(IF('Kapitał pracujący'!$G$161=1,ROUND((S88/S20)*dni,0),'Kapitał pracujący'!S52),"bd.")</f>
        <v>120</v>
      </c>
      <c r="T147" s="10">
        <f ca="1">IFERROR(IF('Kapitał pracujący'!$G$161=1,ROUND((T88/T20)*dni,0),'Kapitał pracujący'!T52),"bd.")</f>
        <v>119</v>
      </c>
      <c r="U147" s="10">
        <f ca="1">IFERROR(IF('Kapitał pracujący'!$G$161=1,ROUND((U88/U20)*dni,0),'Kapitał pracujący'!U52),"bd.")</f>
        <v>120</v>
      </c>
      <c r="V147" s="10">
        <f ca="1">IFERROR(IF('Kapitał pracujący'!$G$161=1,ROUND((V88/V20)*dni,0),'Kapitał pracujący'!V52),"bd.")</f>
        <v>120</v>
      </c>
      <c r="W147" s="10">
        <f ca="1">IFERROR(IF('Kapitał pracujący'!$G$161=1,ROUND((W88/W20)*dni,0),'Kapitał pracujący'!W52),"bd.")</f>
        <v>120</v>
      </c>
      <c r="X147" s="10">
        <f ca="1">IFERROR(IF('Kapitał pracujący'!$G$161=1,ROUND((X88/X20)*dni,0),'Kapitał pracujący'!X52),"bd.")</f>
        <v>120</v>
      </c>
      <c r="Y147" s="10" t="str">
        <f>IFERROR(IF('Kapitał pracujący'!$G$161=1,ROUND((Y88/Y20)*dni,0),'Kapitał pracujący'!Y52),"bd.")</f>
        <v>bd.</v>
      </c>
      <c r="Z147" s="10" t="str">
        <f>IFERROR(IF('Kapitał pracujący'!$G$161=1,ROUND((Z88/Z20)*dni,0),'Kapitał pracujący'!Z52),"bd.")</f>
        <v>bd.</v>
      </c>
      <c r="AA147" s="10" t="str">
        <f>IFERROR(IF('Kapitał pracujący'!$G$161=1,ROUND((AA88/AA20)*dni,0),'Kapitał pracujący'!AA52),"bd.")</f>
        <v>bd.</v>
      </c>
      <c r="AB147" s="10" t="str">
        <f>IFERROR(IF('Kapitał pracujący'!$G$161=1,ROUND((AB88/AB20)*dni,0),'Kapitał pracujący'!AB52),"bd.")</f>
        <v>bd.</v>
      </c>
      <c r="AC147" s="10" t="str">
        <f>IFERROR(IF('Kapitał pracujący'!$G$161=1,ROUND((AC88/AC20)*dni,0),'Kapitał pracujący'!AC52),"bd.")</f>
        <v>bd.</v>
      </c>
      <c r="AD147" s="10" t="str">
        <f>IFERROR(IF('Kapitał pracujący'!$G$161=1,ROUND((AD88/AD20)*dni,0),'Kapitał pracujący'!AD52),"bd.")</f>
        <v>bd.</v>
      </c>
      <c r="AE147" s="10" t="str">
        <f>IFERROR(IF('Kapitał pracujący'!$G$161=1,ROUND((AE88/AE20)*dni,0),'Kapitał pracujący'!AE52),"bd.")</f>
        <v>bd.</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5933.597</v>
      </c>
      <c r="L353" s="97">
        <f t="shared" ca="1" si="463"/>
        <v>7867.71</v>
      </c>
      <c r="M353" s="97">
        <f t="shared" ca="1" si="463"/>
        <v>10797.934</v>
      </c>
      <c r="N353" s="97">
        <f t="shared" ca="1" si="463"/>
        <v>9912.074</v>
      </c>
      <c r="O353" s="97">
        <f t="shared" ca="1" si="463"/>
        <v>11163.074</v>
      </c>
      <c r="P353" s="97">
        <f t="shared" ca="1" si="463"/>
        <v>12392.074</v>
      </c>
      <c r="Q353" s="97">
        <f t="shared" ca="1" si="463"/>
        <v>13564.074</v>
      </c>
      <c r="R353" s="97">
        <f t="shared" ca="1" si="463"/>
        <v>15729.074</v>
      </c>
      <c r="S353" s="97">
        <f t="shared" ca="1" si="463"/>
        <v>19235.074</v>
      </c>
      <c r="T353" s="97">
        <f t="shared" ca="1" si="463"/>
        <v>22525.074</v>
      </c>
      <c r="U353" s="97">
        <f t="shared" ca="1" si="463"/>
        <v>25897.074</v>
      </c>
      <c r="V353" s="97">
        <f t="shared" ca="1" si="463"/>
        <v>29255.074</v>
      </c>
      <c r="W353" s="97">
        <f t="shared" ca="1" si="463"/>
        <v>32595.074</v>
      </c>
      <c r="X353" s="97">
        <f t="shared" ref="X353" ca="1" si="464">X354+X355+X357+X360</f>
        <v>35935.074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3370</v>
      </c>
      <c r="L355" s="33">
        <f t="shared" ref="L355:AE355" ca="1" si="467">L356</f>
        <v>3584</v>
      </c>
      <c r="M355" s="33">
        <f t="shared" ca="1" si="467"/>
        <v>4482</v>
      </c>
      <c r="N355" s="33">
        <f t="shared" ca="1" si="467"/>
        <v>3798</v>
      </c>
      <c r="O355" s="33">
        <f t="shared" ca="1" si="467"/>
        <v>4019</v>
      </c>
      <c r="P355" s="33">
        <f t="shared" ca="1" si="467"/>
        <v>4187</v>
      </c>
      <c r="Q355" s="33">
        <f t="shared" ca="1" si="467"/>
        <v>4174</v>
      </c>
      <c r="R355" s="33">
        <f t="shared" ca="1" si="467"/>
        <v>4465</v>
      </c>
      <c r="S355" s="33">
        <f t="shared" ca="1" si="467"/>
        <v>4918</v>
      </c>
      <c r="T355" s="33">
        <f t="shared" ca="1" si="467"/>
        <v>4918</v>
      </c>
      <c r="U355" s="33">
        <f t="shared" ca="1" si="467"/>
        <v>4904</v>
      </c>
      <c r="V355" s="33">
        <f t="shared" ca="1" si="467"/>
        <v>4918</v>
      </c>
      <c r="W355" s="33">
        <f t="shared" ca="1" si="467"/>
        <v>4918</v>
      </c>
      <c r="X355" s="33">
        <f t="shared" ca="1" si="467"/>
        <v>4918</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3370</v>
      </c>
      <c r="L356" s="41">
        <f ca="1">'Kapitał pracujący'!L113</f>
        <v>3584</v>
      </c>
      <c r="M356" s="41">
        <f ca="1">'Kapitał pracujący'!M113</f>
        <v>4482</v>
      </c>
      <c r="N356" s="41">
        <f ca="1">'Kapitał pracujący'!N113</f>
        <v>3798</v>
      </c>
      <c r="O356" s="41">
        <f ca="1">'Kapitał pracujący'!O113</f>
        <v>4019</v>
      </c>
      <c r="P356" s="41">
        <f ca="1">'Kapitał pracujący'!P113</f>
        <v>4187</v>
      </c>
      <c r="Q356" s="41">
        <f ca="1">'Kapitał pracujący'!Q113</f>
        <v>4174</v>
      </c>
      <c r="R356" s="41">
        <f ca="1">'Kapitał pracujący'!R113</f>
        <v>4465</v>
      </c>
      <c r="S356" s="41">
        <f ca="1">'Kapitał pracujący'!S113</f>
        <v>4918</v>
      </c>
      <c r="T356" s="41">
        <f ca="1">'Kapitał pracujący'!T113</f>
        <v>4918</v>
      </c>
      <c r="U356" s="41">
        <f ca="1">'Kapitał pracujący'!U113</f>
        <v>4904</v>
      </c>
      <c r="V356" s="41">
        <f ca="1">'Kapitał pracujący'!V113</f>
        <v>4918</v>
      </c>
      <c r="W356" s="41">
        <f ca="1">'Kapitał pracujący'!W113</f>
        <v>4918</v>
      </c>
      <c r="X356" s="41">
        <f ca="1">'Kapitał pracujący'!X113</f>
        <v>4918</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2563.597</v>
      </c>
      <c r="L357" s="33">
        <f t="shared" ca="1" si="468"/>
        <v>4283.71</v>
      </c>
      <c r="M357" s="33">
        <f t="shared" ca="1" si="468"/>
        <v>5432.934</v>
      </c>
      <c r="N357" s="33">
        <f t="shared" ca="1" si="468"/>
        <v>6114.074</v>
      </c>
      <c r="O357" s="33">
        <f t="shared" ca="1" si="468"/>
        <v>7092.074</v>
      </c>
      <c r="P357" s="33">
        <f t="shared" ca="1" si="468"/>
        <v>8127.074</v>
      </c>
      <c r="Q357" s="33">
        <f t="shared" ca="1" si="468"/>
        <v>9273.074</v>
      </c>
      <c r="R357" s="33">
        <f t="shared" ca="1" si="468"/>
        <v>11057.074</v>
      </c>
      <c r="S357" s="33">
        <f t="shared" ca="1" si="468"/>
        <v>13950.074</v>
      </c>
      <c r="T357" s="33">
        <f t="shared" ca="1" si="468"/>
        <v>17240.074</v>
      </c>
      <c r="U357" s="33">
        <f t="shared" ca="1" si="468"/>
        <v>20627.074</v>
      </c>
      <c r="V357" s="33">
        <f t="shared" ca="1" si="468"/>
        <v>23970.074</v>
      </c>
      <c r="W357" s="33">
        <f t="shared" ca="1" si="468"/>
        <v>27310.074</v>
      </c>
      <c r="X357" s="33">
        <f t="shared" ref="X357" ca="1" si="469">X358+X359</f>
        <v>30650.074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2563.597</v>
      </c>
      <c r="L358" s="41">
        <f t="shared" ca="1" si="472"/>
        <v>4283.71</v>
      </c>
      <c r="M358" s="41">
        <f t="shared" ca="1" si="472"/>
        <v>5432.934</v>
      </c>
      <c r="N358" s="41">
        <f t="shared" ca="1" si="472"/>
        <v>6114.074</v>
      </c>
      <c r="O358" s="41">
        <f t="shared" ca="1" si="472"/>
        <v>7092.074</v>
      </c>
      <c r="P358" s="41">
        <f t="shared" ca="1" si="472"/>
        <v>8127.074</v>
      </c>
      <c r="Q358" s="41">
        <f t="shared" ca="1" si="472"/>
        <v>9273.074</v>
      </c>
      <c r="R358" s="41">
        <f t="shared" ca="1" si="472"/>
        <v>11057.074</v>
      </c>
      <c r="S358" s="41">
        <f t="shared" ca="1" si="472"/>
        <v>13950.074</v>
      </c>
      <c r="T358" s="41">
        <f t="shared" ca="1" si="472"/>
        <v>17240.074</v>
      </c>
      <c r="U358" s="41">
        <f t="shared" ca="1" si="472"/>
        <v>20627.074</v>
      </c>
      <c r="V358" s="41">
        <f t="shared" ca="1" si="472"/>
        <v>23970.074</v>
      </c>
      <c r="W358" s="41">
        <f t="shared" ca="1" si="472"/>
        <v>27310.074</v>
      </c>
      <c r="X358" s="41">
        <f t="shared" ref="X358" ca="1" si="473">IF(LataProjekcji&lt;=Koniec,X409-X359,0)</f>
        <v>30650.074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5933.597</v>
      </c>
      <c r="L361" s="97">
        <f t="shared" ca="1" si="478"/>
        <v>7872.71</v>
      </c>
      <c r="M361" s="97">
        <f t="shared" ca="1" si="478"/>
        <v>10797.934</v>
      </c>
      <c r="N361" s="97">
        <f t="shared" ca="1" si="478"/>
        <v>11030.074</v>
      </c>
      <c r="O361" s="97">
        <f t="shared" ca="1" si="478"/>
        <v>12023.074</v>
      </c>
      <c r="P361" s="97">
        <f t="shared" ca="1" si="478"/>
        <v>12994.074</v>
      </c>
      <c r="Q361" s="97">
        <f t="shared" ca="1" si="478"/>
        <v>13908.074</v>
      </c>
      <c r="R361" s="97">
        <f t="shared" ca="1" si="478"/>
        <v>15815.074</v>
      </c>
      <c r="S361" s="97">
        <f t="shared" ca="1" si="478"/>
        <v>19235.074</v>
      </c>
      <c r="T361" s="97">
        <f t="shared" ca="1" si="478"/>
        <v>22525.074</v>
      </c>
      <c r="U361" s="97">
        <f t="shared" ca="1" si="478"/>
        <v>25897.074</v>
      </c>
      <c r="V361" s="97">
        <f t="shared" ca="1" si="478"/>
        <v>29255.074</v>
      </c>
      <c r="W361" s="97">
        <f t="shared" ca="1" si="478"/>
        <v>32595.074</v>
      </c>
      <c r="X361" s="97">
        <f t="shared" ref="X361" ca="1" si="479">X353+X335</f>
        <v>35935.074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4831</v>
      </c>
      <c r="L369" s="97">
        <f t="shared" ca="1" si="497"/>
        <v>5702</v>
      </c>
      <c r="M369" s="97">
        <f t="shared" ca="1" si="497"/>
        <v>7235</v>
      </c>
      <c r="N369" s="97">
        <f t="shared" ca="1" si="497"/>
        <v>6345</v>
      </c>
      <c r="O369" s="97">
        <f t="shared" ca="1" si="497"/>
        <v>6530</v>
      </c>
      <c r="P369" s="97">
        <f t="shared" ca="1" si="497"/>
        <v>6551</v>
      </c>
      <c r="Q369" s="97">
        <f t="shared" ca="1" si="497"/>
        <v>6218</v>
      </c>
      <c r="R369" s="97">
        <f t="shared" ca="1" si="497"/>
        <v>6270</v>
      </c>
      <c r="S369" s="97">
        <f t="shared" ca="1" si="497"/>
        <v>6380</v>
      </c>
      <c r="T369" s="97">
        <f t="shared" ca="1" si="497"/>
        <v>6330</v>
      </c>
      <c r="U369" s="97">
        <f t="shared" ca="1" si="497"/>
        <v>6362</v>
      </c>
      <c r="V369" s="97">
        <f t="shared" ca="1" si="497"/>
        <v>6380</v>
      </c>
      <c r="W369" s="97">
        <f t="shared" ca="1" si="497"/>
        <v>6380</v>
      </c>
      <c r="X369" s="97">
        <f t="shared" ref="X369" ca="1" si="498">X370+X371+X374+X378</f>
        <v>6380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4831</v>
      </c>
      <c r="L374" s="33">
        <f t="shared" ca="1" si="508"/>
        <v>5698</v>
      </c>
      <c r="M374" s="33">
        <f t="shared" ca="1" si="508"/>
        <v>6706</v>
      </c>
      <c r="N374" s="33">
        <f t="shared" ca="1" si="508"/>
        <v>5675</v>
      </c>
      <c r="O374" s="33">
        <f t="shared" ca="1" si="508"/>
        <v>6015</v>
      </c>
      <c r="P374" s="33">
        <f t="shared" ca="1" si="508"/>
        <v>6191</v>
      </c>
      <c r="Q374" s="33">
        <f t="shared" ca="1" si="508"/>
        <v>6013</v>
      </c>
      <c r="R374" s="33">
        <f t="shared" ca="1" si="508"/>
        <v>6220</v>
      </c>
      <c r="S374" s="33">
        <f t="shared" ca="1" si="508"/>
        <v>6380</v>
      </c>
      <c r="T374" s="33">
        <f t="shared" ca="1" si="508"/>
        <v>6330</v>
      </c>
      <c r="U374" s="33">
        <f t="shared" ca="1" si="508"/>
        <v>6362</v>
      </c>
      <c r="V374" s="33">
        <f t="shared" ca="1" si="508"/>
        <v>6380</v>
      </c>
      <c r="W374" s="33">
        <f t="shared" ca="1" si="508"/>
        <v>6380</v>
      </c>
      <c r="X374" s="33">
        <f t="shared" ref="X374" ca="1" si="509">SUM(X375:X377)</f>
        <v>6380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4831</v>
      </c>
      <c r="L375" s="41">
        <f ca="1">'Kapitał pracujący'!L122</f>
        <v>5698</v>
      </c>
      <c r="M375" s="41">
        <f ca="1">'Kapitał pracujący'!M122</f>
        <v>6706</v>
      </c>
      <c r="N375" s="41">
        <f ca="1">'Kapitał pracujący'!N122</f>
        <v>5675</v>
      </c>
      <c r="O375" s="41">
        <f ca="1">'Kapitał pracujący'!O122</f>
        <v>6015</v>
      </c>
      <c r="P375" s="41">
        <f ca="1">'Kapitał pracujący'!P122</f>
        <v>6191</v>
      </c>
      <c r="Q375" s="41">
        <f ca="1">'Kapitał pracujący'!Q122</f>
        <v>6013</v>
      </c>
      <c r="R375" s="41">
        <f ca="1">'Kapitał pracujący'!R122</f>
        <v>6220</v>
      </c>
      <c r="S375" s="41">
        <f ca="1">'Kapitał pracujący'!S122</f>
        <v>6380</v>
      </c>
      <c r="T375" s="41">
        <f ca="1">'Kapitał pracujący'!T122</f>
        <v>6330</v>
      </c>
      <c r="U375" s="41">
        <f ca="1">'Kapitał pracujący'!U122</f>
        <v>6362</v>
      </c>
      <c r="V375" s="41">
        <f ca="1">'Kapitał pracujący'!V122</f>
        <v>6380</v>
      </c>
      <c r="W375" s="41">
        <f ca="1">'Kapitał pracujący'!W122</f>
        <v>6380</v>
      </c>
      <c r="X375" s="41">
        <f ca="1">'Kapitał pracujący'!X122</f>
        <v>6380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5935.057</v>
      </c>
      <c r="L381" s="97">
        <f t="shared" ca="1" si="529"/>
        <v>7874.17</v>
      </c>
      <c r="M381" s="97">
        <f t="shared" ca="1" si="529"/>
        <v>10799.394</v>
      </c>
      <c r="N381" s="97">
        <f t="shared" ca="1" si="529"/>
        <v>11031.534</v>
      </c>
      <c r="O381" s="97">
        <f t="shared" ca="1" si="529"/>
        <v>12024.534</v>
      </c>
      <c r="P381" s="97">
        <f t="shared" ca="1" si="529"/>
        <v>12995.534</v>
      </c>
      <c r="Q381" s="97">
        <f t="shared" ca="1" si="529"/>
        <v>13909.534</v>
      </c>
      <c r="R381" s="97">
        <f t="shared" ca="1" si="529"/>
        <v>15816.534</v>
      </c>
      <c r="S381" s="97">
        <f t="shared" ca="1" si="529"/>
        <v>19236.534</v>
      </c>
      <c r="T381" s="97">
        <f t="shared" ca="1" si="529"/>
        <v>22526.534</v>
      </c>
      <c r="U381" s="97">
        <f t="shared" ca="1" si="529"/>
        <v>25898.534</v>
      </c>
      <c r="V381" s="97">
        <f t="shared" ca="1" si="529"/>
        <v>29256.534</v>
      </c>
      <c r="W381" s="97">
        <f t="shared" ca="1" si="529"/>
        <v>32596.534</v>
      </c>
      <c r="X381" s="97">
        <f t="shared" ref="X381" ca="1" si="530">X369+X364</f>
        <v>35936.534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-453.9035</v>
      </c>
      <c r="L386" s="97">
        <f t="shared" ca="1" si="542"/>
        <v>71</v>
      </c>
      <c r="M386" s="97">
        <f t="shared" ca="1" si="542"/>
        <v>414</v>
      </c>
      <c r="N386" s="97">
        <f t="shared" ca="1" si="542"/>
        <v>526</v>
      </c>
      <c r="O386" s="97">
        <f t="shared" ca="1" si="542"/>
        <v>978</v>
      </c>
      <c r="P386" s="97">
        <f t="shared" ca="1" si="542"/>
        <v>1035</v>
      </c>
      <c r="Q386" s="97">
        <f t="shared" ca="1" si="542"/>
        <v>1146</v>
      </c>
      <c r="R386" s="97">
        <f t="shared" ca="1" si="542"/>
        <v>1784</v>
      </c>
      <c r="S386" s="97">
        <f t="shared" ca="1" si="542"/>
        <v>2893</v>
      </c>
      <c r="T386" s="97">
        <f t="shared" ca="1" si="542"/>
        <v>3290</v>
      </c>
      <c r="U386" s="97">
        <f t="shared" ca="1" si="542"/>
        <v>3387</v>
      </c>
      <c r="V386" s="97">
        <f t="shared" ca="1" si="542"/>
        <v>3343</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1485</v>
      </c>
      <c r="L390" s="33">
        <f t="shared" ref="L390:W390" ca="1" si="564">IF(LataProjekcji&lt;=Koniec,K355-L355,0)</f>
        <v>-214</v>
      </c>
      <c r="M390" s="33">
        <f t="shared" ca="1" si="564"/>
        <v>-898</v>
      </c>
      <c r="N390" s="33">
        <f t="shared" ca="1" si="564"/>
        <v>684</v>
      </c>
      <c r="O390" s="33">
        <f t="shared" ca="1" si="564"/>
        <v>-221</v>
      </c>
      <c r="P390" s="33">
        <f t="shared" ca="1" si="564"/>
        <v>-168</v>
      </c>
      <c r="Q390" s="33">
        <f t="shared" ca="1" si="564"/>
        <v>13</v>
      </c>
      <c r="R390" s="33">
        <f t="shared" ca="1" si="564"/>
        <v>-291</v>
      </c>
      <c r="S390" s="33">
        <f t="shared" ca="1" si="564"/>
        <v>-453</v>
      </c>
      <c r="T390" s="33">
        <f t="shared" ca="1" si="564"/>
        <v>0</v>
      </c>
      <c r="U390" s="33">
        <f t="shared" ca="1" si="564"/>
        <v>14</v>
      </c>
      <c r="V390" s="33">
        <f t="shared" ca="1" si="564"/>
        <v>-14</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-2707</v>
      </c>
      <c r="L391" s="33">
        <f ca="1">IF(LataProjekcji&lt;=Koniec,(L374-K374)-(L376-K376)-(L234-K234),0)</f>
        <v>867</v>
      </c>
      <c r="M391" s="33">
        <f t="shared" ref="M391:W391" ca="1" si="565">IF(LataProjekcji&lt;=Koniec,(M374-L374)-(M376-L376)-(M234-L234),0)</f>
        <v>1008</v>
      </c>
      <c r="N391" s="33">
        <f t="shared" ca="1" si="565"/>
        <v>-1031</v>
      </c>
      <c r="O391" s="33">
        <f t="shared" ca="1" si="565"/>
        <v>340</v>
      </c>
      <c r="P391" s="33">
        <f t="shared" ca="1" si="565"/>
        <v>176</v>
      </c>
      <c r="Q391" s="33">
        <f t="shared" ca="1" si="565"/>
        <v>-178</v>
      </c>
      <c r="R391" s="33">
        <f t="shared" ca="1" si="565"/>
        <v>207</v>
      </c>
      <c r="S391" s="33">
        <f t="shared" ca="1" si="565"/>
        <v>160</v>
      </c>
      <c r="T391" s="33">
        <f t="shared" ca="1" si="565"/>
        <v>-50</v>
      </c>
      <c r="U391" s="33">
        <f t="shared" ca="1" si="565"/>
        <v>32</v>
      </c>
      <c r="V391" s="33">
        <f t="shared" ca="1" si="565"/>
        <v>18</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-202.8965</v>
      </c>
      <c r="L407" s="97">
        <f t="shared" ref="L407:W407" ca="1" si="623">IF(LataProjekcji&lt;=Koniec,L386+L395+L399,0)</f>
        <v>1720.113</v>
      </c>
      <c r="M407" s="97">
        <f t="shared" ca="1" si="623"/>
        <v>1149.224</v>
      </c>
      <c r="N407" s="97">
        <f t="shared" ca="1" si="623"/>
        <v>681.14</v>
      </c>
      <c r="O407" s="97">
        <f t="shared" ca="1" si="623"/>
        <v>978</v>
      </c>
      <c r="P407" s="97">
        <f t="shared" ca="1" si="623"/>
        <v>1035</v>
      </c>
      <c r="Q407" s="97">
        <f t="shared" ca="1" si="623"/>
        <v>1146</v>
      </c>
      <c r="R407" s="97">
        <f t="shared" ca="1" si="623"/>
        <v>1784</v>
      </c>
      <c r="S407" s="97">
        <f t="shared" ca="1" si="623"/>
        <v>2893</v>
      </c>
      <c r="T407" s="97">
        <f t="shared" ca="1" si="623"/>
        <v>3290</v>
      </c>
      <c r="U407" s="97">
        <f t="shared" ca="1" si="623"/>
        <v>3387</v>
      </c>
      <c r="V407" s="97">
        <f t="shared" ca="1" si="623"/>
        <v>3343</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2563.597</v>
      </c>
      <c r="M408" s="13">
        <f t="shared" ca="1" si="627"/>
        <v>4283.71</v>
      </c>
      <c r="N408" s="13">
        <f t="shared" ca="1" si="627"/>
        <v>5432.934</v>
      </c>
      <c r="O408" s="13">
        <f t="shared" ca="1" si="627"/>
        <v>6114.074</v>
      </c>
      <c r="P408" s="13">
        <f t="shared" ca="1" si="627"/>
        <v>7092.074</v>
      </c>
      <c r="Q408" s="13">
        <f t="shared" ca="1" si="627"/>
        <v>8127.074</v>
      </c>
      <c r="R408" s="13">
        <f t="shared" ca="1" si="627"/>
        <v>9273.074</v>
      </c>
      <c r="S408" s="13">
        <f t="shared" ca="1" si="627"/>
        <v>11057.074</v>
      </c>
      <c r="T408" s="13">
        <f t="shared" ca="1" si="627"/>
        <v>13950.074</v>
      </c>
      <c r="U408" s="13">
        <f t="shared" ca="1" si="627"/>
        <v>17240.074</v>
      </c>
      <c r="V408" s="13">
        <f t="shared" ca="1" si="627"/>
        <v>20627.074</v>
      </c>
      <c r="W408" s="13">
        <f t="shared" ca="1" si="627"/>
        <v>23970.074</v>
      </c>
      <c r="X408" s="13">
        <f t="shared" ref="X408" ca="1" si="628">IF(LataProjekcji&lt;=Koniec,W409,0)</f>
        <v>27310.074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2563.597</v>
      </c>
      <c r="L409" s="97">
        <f t="shared" ref="L409:W409" ca="1" si="636">IF(LataProjekcji&lt;=Koniec,L407+L408,0)</f>
        <v>4283.71</v>
      </c>
      <c r="M409" s="97">
        <f t="shared" ca="1" si="636"/>
        <v>5432.934</v>
      </c>
      <c r="N409" s="97">
        <f t="shared" ca="1" si="636"/>
        <v>6114.074</v>
      </c>
      <c r="O409" s="97">
        <f t="shared" ca="1" si="636"/>
        <v>7092.074</v>
      </c>
      <c r="P409" s="97">
        <f t="shared" ca="1" si="636"/>
        <v>8127.074</v>
      </c>
      <c r="Q409" s="97">
        <f t="shared" ca="1" si="636"/>
        <v>9273.074</v>
      </c>
      <c r="R409" s="97">
        <f t="shared" ca="1" si="636"/>
        <v>11057.074</v>
      </c>
      <c r="S409" s="97">
        <f t="shared" ca="1" si="636"/>
        <v>13950.074</v>
      </c>
      <c r="T409" s="97">
        <f t="shared" ca="1" si="636"/>
        <v>17240.074</v>
      </c>
      <c r="U409" s="97">
        <f t="shared" ca="1" si="636"/>
        <v>20627.074</v>
      </c>
      <c r="V409" s="97">
        <f t="shared" ca="1" si="636"/>
        <v>23970.074</v>
      </c>
      <c r="W409" s="97">
        <f t="shared" ca="1" si="636"/>
        <v>27310.074</v>
      </c>
      <c r="X409" s="97">
        <f t="shared" ref="X409" ca="1" si="637">IF(LataProjekcji&lt;=Koniec,X407+X408,0)</f>
        <v>30650.074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0.1621</v>
      </c>
      <c r="L418" s="167">
        <f t="shared" ca="1" si="657"/>
        <v>0.0923</v>
      </c>
      <c r="M418" s="167">
        <f t="shared" ca="1" si="657"/>
        <v>0.0779</v>
      </c>
      <c r="N418" s="167">
        <f t="shared" ca="1" si="657"/>
        <v>0.0809</v>
      </c>
      <c r="O418" s="167">
        <f t="shared" ca="1" si="657"/>
        <v>0.0672</v>
      </c>
      <c r="P418" s="167">
        <f t="shared" ca="1" si="657"/>
        <v>0.0731</v>
      </c>
      <c r="Q418" s="167">
        <f t="shared" ca="1" si="657"/>
        <v>0.0897</v>
      </c>
      <c r="R418" s="167">
        <f t="shared" ca="1" si="657"/>
        <v>0.1173</v>
      </c>
      <c r="S418" s="167">
        <f t="shared" ca="1" si="657"/>
        <v>0.1721</v>
      </c>
      <c r="T418" s="167">
        <f t="shared" ca="1" si="657"/>
        <v>0.1483</v>
      </c>
      <c r="U418" s="167">
        <f t="shared" ca="1" si="657"/>
        <v>0.129</v>
      </c>
      <c r="V418" s="167">
        <f t="shared" ca="1" si="657"/>
        <v>0.1142</v>
      </c>
      <c r="W418" s="167">
        <f t="shared" ca="1" si="657"/>
        <v>0.1025</v>
      </c>
      <c r="X418" s="167">
        <f t="shared" ref="X418" ca="1" si="658">IFERROR(ROUND((X330/X361),4),"bd.")</f>
        <v>0.0929</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0.186</v>
      </c>
      <c r="L421" s="169">
        <f t="shared" ca="1" si="661"/>
        <v>0.2759</v>
      </c>
      <c r="M421" s="169">
        <f t="shared" ca="1" si="661"/>
        <v>0.3301</v>
      </c>
      <c r="N421" s="169">
        <f t="shared" ca="1" si="661"/>
        <v>0.4248</v>
      </c>
      <c r="O421" s="169">
        <f t="shared" ca="1" si="661"/>
        <v>0.4569</v>
      </c>
      <c r="P421" s="169">
        <f t="shared" ca="1" si="661"/>
        <v>0.4959</v>
      </c>
      <c r="Q421" s="169">
        <f t="shared" ca="1" si="661"/>
        <v>0.553</v>
      </c>
      <c r="R421" s="169">
        <f t="shared" ca="1" si="661"/>
        <v>0.6036</v>
      </c>
      <c r="S421" s="169">
        <f t="shared" ca="1" si="661"/>
        <v>0.6683</v>
      </c>
      <c r="T421" s="169">
        <f t="shared" ca="1" si="661"/>
        <v>0.719</v>
      </c>
      <c r="U421" s="169">
        <f t="shared" ca="1" si="661"/>
        <v>0.7543</v>
      </c>
      <c r="V421" s="169">
        <f t="shared" ca="1" si="661"/>
        <v>0.7819</v>
      </c>
      <c r="W421" s="169">
        <f t="shared" ca="1" si="661"/>
        <v>0.8043</v>
      </c>
      <c r="X421" s="169">
        <f t="shared" ref="X421" ca="1" si="662">IFERROR(ROUND(X364/X381,4),"bd.")</f>
        <v>0.8225</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0.814</v>
      </c>
      <c r="L423" s="170">
        <f t="shared" ca="1" si="669"/>
        <v>0.7241</v>
      </c>
      <c r="M423" s="170">
        <f t="shared" ca="1" si="669"/>
        <v>0.6699</v>
      </c>
      <c r="N423" s="170">
        <f t="shared" ca="1" si="669"/>
        <v>0.5752</v>
      </c>
      <c r="O423" s="170">
        <f t="shared" ca="1" si="669"/>
        <v>0.5431</v>
      </c>
      <c r="P423" s="170">
        <f t="shared" ca="1" si="669"/>
        <v>0.5041</v>
      </c>
      <c r="Q423" s="170">
        <f t="shared" ca="1" si="669"/>
        <v>0.447</v>
      </c>
      <c r="R423" s="170">
        <f t="shared" ca="1" si="669"/>
        <v>0.3964</v>
      </c>
      <c r="S423" s="170">
        <f t="shared" ca="1" si="669"/>
        <v>0.3317</v>
      </c>
      <c r="T423" s="170">
        <f t="shared" ca="1" si="669"/>
        <v>0.281</v>
      </c>
      <c r="U423" s="170">
        <f t="shared" ca="1" si="669"/>
        <v>0.2457</v>
      </c>
      <c r="V423" s="170">
        <f t="shared" ca="1" si="669"/>
        <v>0.2181</v>
      </c>
      <c r="W423" s="170">
        <f t="shared" ca="1" si="669"/>
        <v>0.1957</v>
      </c>
      <c r="X423" s="170">
        <f t="shared" ref="X423" ca="1" si="670">IFERROR(ROUND(X369/X381,4),"bd.")</f>
        <v>0.1775</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1.2282</v>
      </c>
      <c r="L427" s="172">
        <f t="shared" ca="1" si="673"/>
        <v>1.3808</v>
      </c>
      <c r="M427" s="172">
        <f t="shared" ca="1" si="673"/>
        <v>1.6102</v>
      </c>
      <c r="N427" s="172">
        <f t="shared" ca="1" si="673"/>
        <v>1.7466</v>
      </c>
      <c r="O427" s="172">
        <f t="shared" ca="1" si="673"/>
        <v>1.8559</v>
      </c>
      <c r="P427" s="172">
        <f t="shared" ca="1" si="673"/>
        <v>2.0016</v>
      </c>
      <c r="Q427" s="172">
        <f t="shared" ca="1" si="673"/>
        <v>2.2558</v>
      </c>
      <c r="R427" s="172">
        <f t="shared" ca="1" si="673"/>
        <v>2.5288</v>
      </c>
      <c r="S427" s="172">
        <f t="shared" ca="1" si="673"/>
        <v>3.0149</v>
      </c>
      <c r="T427" s="172">
        <f t="shared" ca="1" si="673"/>
        <v>3.5585</v>
      </c>
      <c r="U427" s="172">
        <f t="shared" ca="1" si="673"/>
        <v>4.0706</v>
      </c>
      <c r="V427" s="172">
        <f t="shared" ca="1" si="673"/>
        <v>4.5854</v>
      </c>
      <c r="W427" s="172">
        <f t="shared" ca="1" si="673"/>
        <v>5.1089</v>
      </c>
      <c r="X427" s="172">
        <f t="shared" ref="X427" ca="1" si="674">IFERROR(ROUND(X353/X374,4),"bd.")</f>
        <v>5.6325</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1.2282</v>
      </c>
      <c r="L428" s="171">
        <f t="shared" ca="1" si="677"/>
        <v>1.3808</v>
      </c>
      <c r="M428" s="171">
        <f t="shared" ca="1" si="677"/>
        <v>1.6102</v>
      </c>
      <c r="N428" s="171">
        <f t="shared" ca="1" si="677"/>
        <v>1.7466</v>
      </c>
      <c r="O428" s="171">
        <f t="shared" ca="1" si="677"/>
        <v>1.8472</v>
      </c>
      <c r="P428" s="171">
        <f t="shared" ca="1" si="677"/>
        <v>1.989</v>
      </c>
      <c r="Q428" s="171">
        <f t="shared" ca="1" si="677"/>
        <v>2.2363</v>
      </c>
      <c r="R428" s="171">
        <f t="shared" ca="1" si="677"/>
        <v>2.4955</v>
      </c>
      <c r="S428" s="171">
        <f t="shared" ca="1" si="677"/>
        <v>2.9574</v>
      </c>
      <c r="T428" s="171">
        <f t="shared" ca="1" si="677"/>
        <v>3.5005</v>
      </c>
      <c r="U428" s="171">
        <f t="shared" ca="1" si="677"/>
        <v>4.0131</v>
      </c>
      <c r="V428" s="171">
        <f t="shared" ca="1" si="677"/>
        <v>4.5279</v>
      </c>
      <c r="W428" s="171">
        <f t="shared" ca="1" si="677"/>
        <v>5.0514</v>
      </c>
      <c r="X428" s="171">
        <f t="shared" ref="X428" ca="1" si="678">IFERROR(ROUND((X353-X354)/X374,4),"bd.")</f>
        <v>5.5749</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63</v>
      </c>
      <c r="L432" s="10">
        <f t="shared" ca="1" si="685"/>
        <v>67</v>
      </c>
      <c r="M432" s="10">
        <f t="shared" ca="1" si="685"/>
        <v>84</v>
      </c>
      <c r="N432" s="10">
        <f t="shared" ca="1" si="685"/>
        <v>71</v>
      </c>
      <c r="O432" s="10">
        <f t="shared" ca="1" si="685"/>
        <v>73</v>
      </c>
      <c r="P432" s="10">
        <f t="shared" ca="1" si="685"/>
        <v>75</v>
      </c>
      <c r="Q432" s="10">
        <f t="shared" ca="1" si="685"/>
        <v>72</v>
      </c>
      <c r="R432" s="10">
        <f t="shared" ca="1" si="685"/>
        <v>70</v>
      </c>
      <c r="S432" s="10">
        <f t="shared" ca="1" si="685"/>
        <v>67</v>
      </c>
      <c r="T432" s="10">
        <f t="shared" ca="1" si="685"/>
        <v>67</v>
      </c>
      <c r="U432" s="10">
        <f t="shared" ca="1" si="685"/>
        <v>67</v>
      </c>
      <c r="V432" s="10">
        <f t="shared" ca="1" si="685"/>
        <v>67</v>
      </c>
      <c r="W432" s="10">
        <f t="shared" ca="1" si="685"/>
        <v>67</v>
      </c>
      <c r="X432" s="10">
        <f t="shared" ref="X432" ca="1" si="686">IFERROR(ROUND((X356/X303)*dni,0),"bd.")</f>
        <v>67</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95</v>
      </c>
      <c r="L433" s="10">
        <f t="shared" ca="1" si="689"/>
        <v>104</v>
      </c>
      <c r="M433" s="10">
        <f t="shared" ca="1" si="689"/>
        <v>129</v>
      </c>
      <c r="N433" s="10">
        <f t="shared" ca="1" si="689"/>
        <v>111</v>
      </c>
      <c r="O433" s="10">
        <f t="shared" ca="1" si="689"/>
        <v>114</v>
      </c>
      <c r="P433" s="10">
        <f t="shared" ca="1" si="689"/>
        <v>116</v>
      </c>
      <c r="Q433" s="10">
        <f t="shared" ca="1" si="689"/>
        <v>110</v>
      </c>
      <c r="R433" s="10">
        <f t="shared" ca="1" si="689"/>
        <v>108</v>
      </c>
      <c r="S433" s="10">
        <f t="shared" ca="1" si="689"/>
        <v>102</v>
      </c>
      <c r="T433" s="10">
        <f t="shared" ca="1" si="689"/>
        <v>102</v>
      </c>
      <c r="U433" s="10">
        <f t="shared" ca="1" si="689"/>
        <v>102</v>
      </c>
      <c r="V433" s="10">
        <f t="shared" ca="1" si="689"/>
        <v>102</v>
      </c>
      <c r="W433" s="10">
        <f t="shared" ca="1" si="689"/>
        <v>102</v>
      </c>
      <c r="X433" s="10">
        <f t="shared" ref="X433" ca="1" si="690">IFERROR(ROUND((X375/X308)*dni,0),"bd.")</f>
        <v>102</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284592.03999999998</v>
      </c>
      <c r="E12" s="585">
        <v>279130.65000000002</v>
      </c>
      <c r="F12" s="585">
        <v>223304.52000000002</v>
      </c>
      <c r="G12" s="615" t="s">
        <v>894</v>
      </c>
      <c r="H12" s="586">
        <f>IF(ISBLANK($G12),"",IF($G12="zaliczka [Z]",(F12/E12),"n/d"))</f>
        <v>0.8</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1083299.6200000001</v>
      </c>
      <c r="E13" s="591">
        <v>1062510.8400000001</v>
      </c>
      <c r="F13" s="591">
        <v>850008.67200000014</v>
      </c>
      <c r="G13" s="590" t="s">
        <v>894</v>
      </c>
      <c r="H13" s="592">
        <f t="shared" ref="H13:H41" si="0">IF(ISBLANK($G13),"",IF($G13="zaliczka [Z]",(F13/E13),"n/d"))</f>
        <v>0.8</v>
      </c>
      <c r="I13" s="593" t="str">
        <f t="shared" ref="I13:I41" si="1">IF(ISBLANK($G13),"",IF($G13="refundacja [R]",(F13/E13),"n/d"))</f>
        <v>n/d</v>
      </c>
    </row>
    <row r="14" spans="2:25">
      <c r="B14" s="589">
        <v>3</v>
      </c>
      <c r="C14" s="590" t="s">
        <v>948</v>
      </c>
      <c r="D14" s="591">
        <v>847657.4</v>
      </c>
      <c r="E14" s="591">
        <v>831390.65</v>
      </c>
      <c r="F14" s="591">
        <v>665112.52</v>
      </c>
      <c r="G14" s="590" t="s">
        <v>894</v>
      </c>
      <c r="H14" s="592">
        <f t="shared" si="0"/>
        <v>0.8</v>
      </c>
      <c r="I14" s="593" t="str">
        <f t="shared" si="1"/>
        <v>n/d</v>
      </c>
    </row>
    <row r="15" spans="2:25">
      <c r="B15" s="589">
        <v>4</v>
      </c>
      <c r="C15" s="590" t="s">
        <v>949</v>
      </c>
      <c r="D15" s="591">
        <v>863452.26</v>
      </c>
      <c r="E15" s="591">
        <v>846882.41</v>
      </c>
      <c r="F15" s="591">
        <v>555789.35</v>
      </c>
      <c r="G15" s="590" t="s">
        <v>894</v>
      </c>
      <c r="H15" s="592">
        <f t="shared" si="0"/>
        <v>0.65627688500461356</v>
      </c>
      <c r="I15" s="593" t="str">
        <f t="shared" si="1"/>
        <v>n/d</v>
      </c>
    </row>
    <row r="16" spans="2:25">
      <c r="B16" s="589">
        <v>5</v>
      </c>
      <c r="C16" s="590" t="s">
        <v>950</v>
      </c>
      <c r="D16" s="591">
        <v>650577.41</v>
      </c>
      <c r="E16" s="591">
        <v>638092.68000000005</v>
      </c>
      <c r="F16" s="591">
        <v>382855.60800000001</v>
      </c>
      <c r="G16" s="590" t="s">
        <v>894</v>
      </c>
      <c r="H16" s="592">
        <f t="shared" si="0"/>
        <v>0.6</v>
      </c>
      <c r="I16" s="593" t="str">
        <f t="shared" si="1"/>
        <v>n/d</v>
      </c>
    </row>
    <row r="17" spans="2:9">
      <c r="B17" s="589">
        <v>6</v>
      </c>
      <c r="C17" s="590" t="s">
        <v>951</v>
      </c>
      <c r="D17" s="591">
        <v>66309.960000000006</v>
      </c>
      <c r="E17" s="591">
        <v>65037.46</v>
      </c>
      <c r="F17" s="591">
        <v>39022.475999999995</v>
      </c>
      <c r="G17" s="590" t="s">
        <v>894</v>
      </c>
      <c r="H17" s="592">
        <f t="shared" si="0"/>
        <v>0.6</v>
      </c>
      <c r="I17" s="593" t="str">
        <f t="shared" si="1"/>
        <v>n/d</v>
      </c>
    </row>
    <row r="18" spans="2:9">
      <c r="B18" s="589">
        <v>7</v>
      </c>
      <c r="C18" s="590" t="s">
        <v>952</v>
      </c>
      <c r="D18" s="591">
        <v>421765.41</v>
      </c>
      <c r="E18" s="591">
        <v>413671.63</v>
      </c>
      <c r="F18" s="591">
        <v>248202.978</v>
      </c>
      <c r="G18" s="590" t="s">
        <v>953</v>
      </c>
      <c r="H18" s="592" t="str">
        <f t="shared" si="0"/>
        <v>n/d</v>
      </c>
      <c r="I18" s="593">
        <f t="shared" si="1"/>
        <v>0.6</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2964296.1240000003</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343328.56</v>
      </c>
      <c r="E12" s="585">
        <v>335998.77</v>
      </c>
      <c r="F12" s="585">
        <v>280172.64</v>
      </c>
      <c r="G12" s="615" t="s">
        <v>894</v>
      </c>
      <c r="H12" s="586">
        <f>IF(ISBLANK($G12),"",IF($G12="zaliczka [Z]",(F12/E12),"n/d"))</f>
        <v>0.83385019534446514</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1321696.6100000001</v>
      </c>
      <c r="E13" s="591">
        <v>1293324.4400000002</v>
      </c>
      <c r="F13" s="591">
        <v>1080822.2720000001</v>
      </c>
      <c r="G13" s="590" t="s">
        <v>894</v>
      </c>
      <c r="H13" s="592">
        <f t="shared" ref="H13:H41" si="0">IF(ISBLANK($G13),"",IF($G13="zaliczka [Z]",(F13/E13),"n/d"))</f>
        <v>0.83569307017812167</v>
      </c>
      <c r="I13" s="593" t="str">
        <f t="shared" ref="I13:I41" si="1">IF(ISBLANK($G13),"",IF($G13="refundacja [R]",(F13/E13),"n/d"))</f>
        <v>n/d</v>
      </c>
    </row>
    <row r="14" spans="2:25">
      <c r="B14" s="589">
        <v>3</v>
      </c>
      <c r="C14" s="590" t="s">
        <v>948</v>
      </c>
      <c r="D14" s="591">
        <v>1086054.3900000001</v>
      </c>
      <c r="E14" s="591">
        <v>1062204.25</v>
      </c>
      <c r="F14" s="591">
        <v>895926.12</v>
      </c>
      <c r="G14" s="590" t="s">
        <v>894</v>
      </c>
      <c r="H14" s="592">
        <f t="shared" si="0"/>
        <v>0.84345936292384449</v>
      </c>
      <c r="I14" s="593" t="str">
        <f t="shared" si="1"/>
        <v>n/d</v>
      </c>
    </row>
    <row r="15" spans="2:25">
      <c r="B15" s="589">
        <v>4</v>
      </c>
      <c r="C15" s="590" t="s">
        <v>949</v>
      </c>
      <c r="D15" s="591">
        <v>1036750.26</v>
      </c>
      <c r="E15" s="591">
        <v>1014667.81</v>
      </c>
      <c r="F15" s="591">
        <v>723574.75</v>
      </c>
      <c r="G15" s="590" t="s">
        <v>894</v>
      </c>
      <c r="H15" s="592">
        <f t="shared" si="0"/>
        <v>0.71311491590533449</v>
      </c>
      <c r="I15" s="593" t="str">
        <f t="shared" si="1"/>
        <v>n/d</v>
      </c>
    </row>
    <row r="16" spans="2:25">
      <c r="B16" s="589">
        <v>5</v>
      </c>
      <c r="C16" s="590" t="s">
        <v>950</v>
      </c>
      <c r="D16" s="591">
        <v>823875.41</v>
      </c>
      <c r="E16" s="591">
        <v>805878.08000000007</v>
      </c>
      <c r="F16" s="591">
        <v>550641.00800000003</v>
      </c>
      <c r="G16" s="590" t="s">
        <v>894</v>
      </c>
      <c r="H16" s="592">
        <f t="shared" si="0"/>
        <v>0.68328078609608045</v>
      </c>
      <c r="I16" s="593" t="str">
        <f t="shared" si="1"/>
        <v>n/d</v>
      </c>
    </row>
    <row r="17" spans="2:9">
      <c r="B17" s="589">
        <v>6</v>
      </c>
      <c r="C17" s="590" t="s">
        <v>951</v>
      </c>
      <c r="D17" s="591">
        <v>145326.67000000001</v>
      </c>
      <c r="E17" s="591">
        <v>141540.65</v>
      </c>
      <c r="F17" s="591">
        <v>115525.666</v>
      </c>
      <c r="G17" s="590" t="s">
        <v>894</v>
      </c>
      <c r="H17" s="592">
        <f t="shared" si="0"/>
        <v>0.81620132449582505</v>
      </c>
      <c r="I17" s="593" t="str">
        <f t="shared" si="1"/>
        <v>n/d</v>
      </c>
    </row>
    <row r="18" spans="2:9">
      <c r="B18" s="589">
        <v>7</v>
      </c>
      <c r="C18" s="590" t="s">
        <v>952</v>
      </c>
      <c r="D18" s="591">
        <v>528559.1</v>
      </c>
      <c r="E18" s="591">
        <v>517068.22</v>
      </c>
      <c r="F18" s="591">
        <v>351599.56799999997</v>
      </c>
      <c r="G18" s="590" t="s">
        <v>953</v>
      </c>
      <c r="H18" s="592" t="str">
        <f t="shared" si="0"/>
        <v>n/d</v>
      </c>
      <c r="I18" s="593">
        <f t="shared" si="1"/>
        <v>0.67998680715670357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3998262.0240000002</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