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Repositories\github\retomarek\esphome-comfoair\doc\"/>
    </mc:Choice>
  </mc:AlternateContent>
  <xr:revisionPtr revIDLastSave="0" documentId="13_ncr:1_{9ED00C63-ED0F-4A86-926C-811AC1978D8F}" xr6:coauthVersionLast="47" xr6:coauthVersionMax="47" xr10:uidLastSave="{00000000-0000-0000-0000-000000000000}"/>
  <bookViews>
    <workbookView xWindow="19440" yWindow="2025" windowWidth="38700" windowHeight="15315" activeTab="3" xr2:uid="{00000000-000D-0000-FFFF-FFFF00000000}"/>
  </bookViews>
  <sheets>
    <sheet name="Vorgehen-Fragen" sheetId="3" r:id="rId1"/>
    <sheet name="Fakten" sheetId="4" r:id="rId2"/>
    <sheet name="Planungswerte" sheetId="6" r:id="rId3"/>
    <sheet name="Übersicht Messungen" sheetId="2" r:id="rId4"/>
    <sheet name="Stromverbrauch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2" l="1"/>
  <c r="O28" i="2"/>
  <c r="L34" i="2"/>
  <c r="L28" i="2"/>
  <c r="I34" i="2"/>
  <c r="I28" i="2"/>
  <c r="F34" i="2"/>
  <c r="F28" i="2"/>
  <c r="F129" i="2"/>
  <c r="I129" i="2"/>
  <c r="L129" i="2"/>
  <c r="O129" i="2"/>
  <c r="O123" i="2"/>
  <c r="L123" i="2"/>
  <c r="I123" i="2"/>
  <c r="F123" i="2"/>
  <c r="E28" i="2"/>
  <c r="F31" i="2" s="1"/>
  <c r="H28" i="2"/>
  <c r="I31" i="2" s="1"/>
  <c r="K28" i="2"/>
  <c r="L31" i="2" s="1"/>
  <c r="N28" i="2"/>
  <c r="O30" i="2" s="1"/>
  <c r="D29" i="2"/>
  <c r="F29" i="2"/>
  <c r="G29" i="2"/>
  <c r="I29" i="2"/>
  <c r="J29" i="2"/>
  <c r="L29" i="2"/>
  <c r="M29" i="2"/>
  <c r="O29" i="2"/>
  <c r="P29" i="2"/>
  <c r="D30" i="2"/>
  <c r="F30" i="2"/>
  <c r="G30" i="2"/>
  <c r="I30" i="2"/>
  <c r="J30" i="2"/>
  <c r="L30" i="2"/>
  <c r="M30" i="2"/>
  <c r="P30" i="2"/>
  <c r="D31" i="2"/>
  <c r="G31" i="2"/>
  <c r="J31" i="2"/>
  <c r="M31" i="2"/>
  <c r="O31" i="2"/>
  <c r="P31" i="2"/>
  <c r="U31" i="2"/>
  <c r="D32" i="2"/>
  <c r="F32" i="2"/>
  <c r="G32" i="2"/>
  <c r="I32" i="2"/>
  <c r="J32" i="2"/>
  <c r="L32" i="2"/>
  <c r="M32" i="2"/>
  <c r="O32" i="2"/>
  <c r="P32" i="2"/>
  <c r="X32" i="2"/>
  <c r="V33" i="2"/>
  <c r="W33" i="2"/>
  <c r="E34" i="2"/>
  <c r="F36" i="2" s="1"/>
  <c r="H34" i="2"/>
  <c r="K34" i="2"/>
  <c r="N34" i="2"/>
  <c r="N39" i="2" s="1"/>
  <c r="X34" i="2"/>
  <c r="F35" i="2"/>
  <c r="G35" i="2"/>
  <c r="I35" i="2"/>
  <c r="J35" i="2"/>
  <c r="L35" i="2"/>
  <c r="M35" i="2"/>
  <c r="O35" i="2"/>
  <c r="P35" i="2"/>
  <c r="C36" i="2"/>
  <c r="P36" i="2" s="1"/>
  <c r="D36" i="2"/>
  <c r="F37" i="2"/>
  <c r="G37" i="2"/>
  <c r="J37" i="2"/>
  <c r="L37" i="2"/>
  <c r="M37" i="2"/>
  <c r="P37" i="2"/>
  <c r="U38" i="2"/>
  <c r="V38" i="2"/>
  <c r="W38" i="2"/>
  <c r="E51" i="2"/>
  <c r="F53" i="2" s="1"/>
  <c r="H51" i="2"/>
  <c r="K51" i="2"/>
  <c r="L53" i="2" s="1"/>
  <c r="N51" i="2"/>
  <c r="N62" i="2" s="1"/>
  <c r="D52" i="2"/>
  <c r="F52" i="2"/>
  <c r="G52" i="2"/>
  <c r="I52" i="2"/>
  <c r="J52" i="2"/>
  <c r="L52" i="2"/>
  <c r="M52" i="2"/>
  <c r="P52" i="2"/>
  <c r="Q52" i="2"/>
  <c r="S52" i="2" s="1"/>
  <c r="D53" i="2"/>
  <c r="G53" i="2"/>
  <c r="J53" i="2"/>
  <c r="M53" i="2"/>
  <c r="P53" i="2"/>
  <c r="Q53" i="2"/>
  <c r="S53" i="2" s="1"/>
  <c r="D54" i="2"/>
  <c r="F54" i="2"/>
  <c r="G54" i="2"/>
  <c r="I54" i="2"/>
  <c r="J54" i="2"/>
  <c r="L54" i="2"/>
  <c r="M54" i="2"/>
  <c r="O54" i="2"/>
  <c r="P54" i="2"/>
  <c r="Q54" i="2"/>
  <c r="S54" i="2"/>
  <c r="U54" i="2"/>
  <c r="D55" i="2"/>
  <c r="G55" i="2"/>
  <c r="J55" i="2"/>
  <c r="M55" i="2"/>
  <c r="P55" i="2"/>
  <c r="Q55" i="2"/>
  <c r="S55" i="2"/>
  <c r="X55" i="2"/>
  <c r="Q56" i="2"/>
  <c r="V56" i="2"/>
  <c r="E57" i="2"/>
  <c r="F59" i="2" s="1"/>
  <c r="H57" i="2"/>
  <c r="I59" i="2" s="1"/>
  <c r="K57" i="2"/>
  <c r="L59" i="2" s="1"/>
  <c r="N57" i="2"/>
  <c r="O59" i="2" s="1"/>
  <c r="X57" i="2"/>
  <c r="G58" i="2"/>
  <c r="J58" i="2"/>
  <c r="L58" i="2"/>
  <c r="M58" i="2"/>
  <c r="O58" i="2"/>
  <c r="P58" i="2"/>
  <c r="C59" i="2"/>
  <c r="G59" i="2" s="1"/>
  <c r="D59" i="2"/>
  <c r="G60" i="2"/>
  <c r="J60" i="2"/>
  <c r="L60" i="2"/>
  <c r="M60" i="2"/>
  <c r="P60" i="2"/>
  <c r="U61" i="2"/>
  <c r="V61" i="2"/>
  <c r="W61" i="2"/>
  <c r="E73" i="2"/>
  <c r="F77" i="2" s="1"/>
  <c r="H73" i="2"/>
  <c r="I75" i="2" s="1"/>
  <c r="K73" i="2"/>
  <c r="L74" i="2" s="1"/>
  <c r="N73" i="2"/>
  <c r="O75" i="2" s="1"/>
  <c r="D74" i="2"/>
  <c r="G74" i="2"/>
  <c r="J74" i="2"/>
  <c r="M74" i="2"/>
  <c r="P74" i="2"/>
  <c r="D75" i="2"/>
  <c r="G75" i="2"/>
  <c r="J75" i="2"/>
  <c r="M75" i="2"/>
  <c r="P75" i="2"/>
  <c r="D76" i="2"/>
  <c r="G76" i="2"/>
  <c r="J76" i="2"/>
  <c r="M76" i="2"/>
  <c r="P76" i="2"/>
  <c r="U76" i="2"/>
  <c r="D77" i="2"/>
  <c r="G77" i="2"/>
  <c r="J77" i="2"/>
  <c r="M77" i="2"/>
  <c r="P77" i="2"/>
  <c r="X77" i="2"/>
  <c r="V78" i="2"/>
  <c r="W78" i="2" s="1"/>
  <c r="E79" i="2"/>
  <c r="F81" i="2" s="1"/>
  <c r="H79" i="2"/>
  <c r="K79" i="2"/>
  <c r="L81" i="2" s="1"/>
  <c r="N79" i="2"/>
  <c r="X79" i="2"/>
  <c r="F80" i="2"/>
  <c r="G80" i="2"/>
  <c r="J80" i="2"/>
  <c r="M80" i="2"/>
  <c r="P80" i="2"/>
  <c r="C81" i="2"/>
  <c r="G81" i="2" s="1"/>
  <c r="D81" i="2"/>
  <c r="G82" i="2"/>
  <c r="J82" i="2"/>
  <c r="M82" i="2"/>
  <c r="P82" i="2"/>
  <c r="U83" i="2"/>
  <c r="V83" i="2"/>
  <c r="W83" i="2"/>
  <c r="N107" i="2"/>
  <c r="O107" i="2" s="1"/>
  <c r="K107" i="2"/>
  <c r="K108" i="2" s="1"/>
  <c r="L108" i="2" s="1"/>
  <c r="H107" i="2"/>
  <c r="H108" i="2" s="1"/>
  <c r="I108" i="2" s="1"/>
  <c r="E107" i="2"/>
  <c r="E108" i="2" s="1"/>
  <c r="L102" i="2"/>
  <c r="O102" i="2" s="1"/>
  <c r="L101" i="2"/>
  <c r="O101" i="2" s="1"/>
  <c r="L95" i="2"/>
  <c r="O95" i="2" s="1"/>
  <c r="N95" i="2" s="1"/>
  <c r="L96" i="2"/>
  <c r="O96" i="2" s="1"/>
  <c r="N96" i="2" s="1"/>
  <c r="L97" i="2"/>
  <c r="K97" i="2" s="1"/>
  <c r="L94" i="2"/>
  <c r="K94" i="2" s="1"/>
  <c r="F102" i="2"/>
  <c r="F101" i="2"/>
  <c r="F95" i="2"/>
  <c r="E95" i="2" s="1"/>
  <c r="F96" i="2"/>
  <c r="E96" i="2" s="1"/>
  <c r="F97" i="2"/>
  <c r="E97" i="2" s="1"/>
  <c r="F94" i="2"/>
  <c r="E94" i="2" s="1"/>
  <c r="H97" i="2"/>
  <c r="R55" i="2" s="1"/>
  <c r="H96" i="2"/>
  <c r="R54" i="2" s="1"/>
  <c r="H95" i="2"/>
  <c r="R53" i="2" s="1"/>
  <c r="H94" i="2"/>
  <c r="R52" i="2" s="1"/>
  <c r="H99" i="2"/>
  <c r="H101" i="2" s="1"/>
  <c r="N99" i="2"/>
  <c r="W133" i="2"/>
  <c r="V133" i="2"/>
  <c r="U133" i="2"/>
  <c r="P132" i="2"/>
  <c r="M132" i="2"/>
  <c r="J132" i="2"/>
  <c r="G132" i="2"/>
  <c r="C131" i="2"/>
  <c r="P131" i="2" s="1"/>
  <c r="P130" i="2"/>
  <c r="M130" i="2"/>
  <c r="J130" i="2"/>
  <c r="G130" i="2"/>
  <c r="X129" i="2"/>
  <c r="N129" i="2"/>
  <c r="O132" i="2" s="1"/>
  <c r="K129" i="2"/>
  <c r="L131" i="2" s="1"/>
  <c r="H129" i="2"/>
  <c r="I132" i="2" s="1"/>
  <c r="E129" i="2"/>
  <c r="F130" i="2" s="1"/>
  <c r="V128" i="2"/>
  <c r="X127" i="2"/>
  <c r="P127" i="2"/>
  <c r="M127" i="2"/>
  <c r="J127" i="2"/>
  <c r="G127" i="2"/>
  <c r="D127" i="2"/>
  <c r="U126" i="2"/>
  <c r="P126" i="2"/>
  <c r="M126" i="2"/>
  <c r="J126" i="2"/>
  <c r="G126" i="2"/>
  <c r="D126" i="2"/>
  <c r="P125" i="2"/>
  <c r="M125" i="2"/>
  <c r="J125" i="2"/>
  <c r="G125" i="2"/>
  <c r="D125" i="2"/>
  <c r="P124" i="2"/>
  <c r="M124" i="2"/>
  <c r="J124" i="2"/>
  <c r="G124" i="2"/>
  <c r="D124" i="2"/>
  <c r="N123" i="2"/>
  <c r="O125" i="2" s="1"/>
  <c r="K123" i="2"/>
  <c r="L125" i="2" s="1"/>
  <c r="H123" i="2"/>
  <c r="I126" i="2" s="1"/>
  <c r="E123" i="2"/>
  <c r="F124" i="2" s="1"/>
  <c r="N84" i="2" l="1"/>
  <c r="H84" i="2"/>
  <c r="H62" i="2"/>
  <c r="I60" i="2"/>
  <c r="I55" i="2"/>
  <c r="E62" i="2"/>
  <c r="F55" i="2"/>
  <c r="O37" i="2"/>
  <c r="H39" i="2"/>
  <c r="W56" i="2"/>
  <c r="F60" i="2"/>
  <c r="I58" i="2"/>
  <c r="K39" i="2"/>
  <c r="F58" i="2"/>
  <c r="R56" i="2"/>
  <c r="O53" i="2"/>
  <c r="F76" i="2"/>
  <c r="O55" i="2"/>
  <c r="O60" i="2"/>
  <c r="O52" i="2"/>
  <c r="I37" i="2"/>
  <c r="S56" i="2"/>
  <c r="L55" i="2"/>
  <c r="P59" i="2"/>
  <c r="D58" i="2"/>
  <c r="O36" i="2"/>
  <c r="M36" i="2"/>
  <c r="O76" i="2"/>
  <c r="L36" i="2"/>
  <c r="J36" i="2"/>
  <c r="D37" i="2"/>
  <c r="I53" i="2"/>
  <c r="D35" i="2"/>
  <c r="M59" i="2"/>
  <c r="L76" i="2"/>
  <c r="J59" i="2"/>
  <c r="I36" i="2"/>
  <c r="K62" i="2"/>
  <c r="G36" i="2"/>
  <c r="D60" i="2"/>
  <c r="I76" i="2"/>
  <c r="E39" i="2"/>
  <c r="I74" i="2"/>
  <c r="F74" i="2"/>
  <c r="L77" i="2"/>
  <c r="I77" i="2"/>
  <c r="F75" i="2"/>
  <c r="O77" i="2"/>
  <c r="O80" i="2"/>
  <c r="L80" i="2"/>
  <c r="O74" i="2"/>
  <c r="L75" i="2"/>
  <c r="F82" i="2"/>
  <c r="I80" i="2"/>
  <c r="L82" i="2"/>
  <c r="O82" i="2"/>
  <c r="I82" i="2"/>
  <c r="D82" i="2"/>
  <c r="O81" i="2"/>
  <c r="K84" i="2"/>
  <c r="I81" i="2"/>
  <c r="D80" i="2"/>
  <c r="P81" i="2"/>
  <c r="M81" i="2"/>
  <c r="J81" i="2"/>
  <c r="E84" i="2"/>
  <c r="K96" i="2"/>
  <c r="H102" i="2"/>
  <c r="K95" i="2"/>
  <c r="I107" i="2"/>
  <c r="N101" i="2"/>
  <c r="O94" i="2"/>
  <c r="N94" i="2" s="1"/>
  <c r="N102" i="2"/>
  <c r="O97" i="2"/>
  <c r="N97" i="2" s="1"/>
  <c r="N108" i="2"/>
  <c r="O108" i="2" s="1"/>
  <c r="L107" i="2"/>
  <c r="F107" i="2"/>
  <c r="I125" i="2"/>
  <c r="I124" i="2"/>
  <c r="D132" i="2"/>
  <c r="D130" i="2"/>
  <c r="M131" i="2"/>
  <c r="O124" i="2"/>
  <c r="L132" i="2"/>
  <c r="L127" i="2"/>
  <c r="I130" i="2"/>
  <c r="O131" i="2"/>
  <c r="N134" i="2"/>
  <c r="W128" i="2"/>
  <c r="F126" i="2"/>
  <c r="L126" i="2"/>
  <c r="F127" i="2"/>
  <c r="G131" i="2"/>
  <c r="F132" i="2"/>
  <c r="F125" i="2"/>
  <c r="L130" i="2"/>
  <c r="I131" i="2"/>
  <c r="F131" i="2"/>
  <c r="L124" i="2"/>
  <c r="O126" i="2"/>
  <c r="I127" i="2"/>
  <c r="J131" i="2"/>
  <c r="O130" i="2"/>
  <c r="E134" i="2"/>
  <c r="H134" i="2"/>
  <c r="K134" i="2"/>
  <c r="O127" i="2"/>
  <c r="D131" i="2"/>
  <c r="O116" i="2"/>
  <c r="O117" i="2" s="1"/>
  <c r="F116" i="2"/>
  <c r="F117" i="2" s="1"/>
  <c r="J117" i="2"/>
  <c r="E116" i="2"/>
  <c r="E117" i="2" s="1"/>
  <c r="R117" i="2"/>
  <c r="D117" i="2"/>
  <c r="C117" i="2"/>
  <c r="G117" i="2"/>
  <c r="R114" i="2"/>
  <c r="O114" i="2"/>
  <c r="F114" i="2"/>
  <c r="E114" i="2"/>
  <c r="D114" i="2"/>
  <c r="C114" i="2"/>
  <c r="K99" i="2" l="1"/>
  <c r="E99" i="2"/>
  <c r="E101" i="2" l="1"/>
  <c r="E102" i="2"/>
  <c r="K101" i="2"/>
  <c r="K102" i="2"/>
  <c r="J6" i="6"/>
  <c r="I6" i="6"/>
  <c r="G11" i="6"/>
  <c r="F11" i="6"/>
  <c r="G6" i="6"/>
  <c r="G5" i="6"/>
  <c r="F6" i="6"/>
  <c r="F5" i="6"/>
  <c r="C10" i="5"/>
  <c r="I100" i="2" l="1"/>
  <c r="V12" i="2"/>
  <c r="X13" i="2"/>
  <c r="U10" i="2"/>
  <c r="X11" i="2"/>
  <c r="U17" i="2"/>
  <c r="V17" i="2"/>
  <c r="W17" i="2"/>
  <c r="D94" i="2"/>
  <c r="D11" i="2"/>
  <c r="D10" i="2"/>
  <c r="D9" i="2"/>
  <c r="D8" i="2"/>
  <c r="C101" i="2"/>
  <c r="D100" i="2" s="1"/>
  <c r="E7" i="2"/>
  <c r="F11" i="2" s="1"/>
  <c r="H7" i="2"/>
  <c r="I9" i="2" s="1"/>
  <c r="K7" i="2"/>
  <c r="L10" i="2" s="1"/>
  <c r="N7" i="2"/>
  <c r="O10" i="2" s="1"/>
  <c r="G8" i="2"/>
  <c r="J8" i="2"/>
  <c r="M8" i="2"/>
  <c r="P8" i="2"/>
  <c r="G9" i="2"/>
  <c r="J9" i="2"/>
  <c r="M9" i="2"/>
  <c r="P9" i="2"/>
  <c r="G10" i="2"/>
  <c r="J10" i="2"/>
  <c r="M10" i="2"/>
  <c r="P10" i="2"/>
  <c r="G11" i="2"/>
  <c r="J11" i="2"/>
  <c r="M11" i="2"/>
  <c r="P11" i="2"/>
  <c r="E13" i="2"/>
  <c r="F16" i="2" s="1"/>
  <c r="H13" i="2"/>
  <c r="I16" i="2" s="1"/>
  <c r="K13" i="2"/>
  <c r="L14" i="2" s="1"/>
  <c r="N13" i="2"/>
  <c r="O15" i="2" s="1"/>
  <c r="G14" i="2"/>
  <c r="J14" i="2"/>
  <c r="M14" i="2"/>
  <c r="P14" i="2"/>
  <c r="C15" i="2"/>
  <c r="D14" i="2" s="1"/>
  <c r="G16" i="2"/>
  <c r="J16" i="2"/>
  <c r="M16" i="2"/>
  <c r="P16" i="2"/>
  <c r="F100" i="2" l="1"/>
  <c r="E100" i="2" s="1"/>
  <c r="L100" i="2"/>
  <c r="H100" i="2"/>
  <c r="N18" i="2"/>
  <c r="I10" i="2"/>
  <c r="H18" i="2"/>
  <c r="K18" i="2"/>
  <c r="W12" i="2"/>
  <c r="F10" i="2"/>
  <c r="D101" i="2"/>
  <c r="D15" i="2"/>
  <c r="D102" i="2"/>
  <c r="I11" i="2"/>
  <c r="L11" i="2"/>
  <c r="O11" i="2"/>
  <c r="I14" i="2"/>
  <c r="L15" i="2"/>
  <c r="O16" i="2"/>
  <c r="E18" i="2"/>
  <c r="D16" i="2"/>
  <c r="F8" i="2"/>
  <c r="I8" i="2"/>
  <c r="L8" i="2"/>
  <c r="O8" i="2"/>
  <c r="F14" i="2"/>
  <c r="I15" i="2"/>
  <c r="L16" i="2"/>
  <c r="F9" i="2"/>
  <c r="L9" i="2"/>
  <c r="O9" i="2"/>
  <c r="F15" i="2"/>
  <c r="O14" i="2"/>
  <c r="P15" i="2"/>
  <c r="M15" i="2"/>
  <c r="G15" i="2"/>
  <c r="J15" i="2"/>
  <c r="O100" i="2" l="1"/>
  <c r="N100" i="2" s="1"/>
  <c r="K100" i="2"/>
  <c r="J94" i="2"/>
  <c r="W103" i="2"/>
  <c r="J97" i="2"/>
  <c r="V103" i="2"/>
  <c r="J96" i="2"/>
  <c r="U103" i="2"/>
  <c r="J95" i="2"/>
  <c r="X98" i="2"/>
  <c r="G96" i="2" l="1"/>
  <c r="G94" i="2" l="1"/>
  <c r="J108" i="2"/>
  <c r="H113" i="2" s="1"/>
  <c r="J107" i="2"/>
  <c r="K113" i="2" s="1"/>
  <c r="J100" i="2"/>
  <c r="J102" i="2"/>
  <c r="M97" i="2"/>
  <c r="M95" i="2"/>
  <c r="M96" i="2"/>
  <c r="G102" i="2"/>
  <c r="M101" i="2"/>
  <c r="M102" i="2"/>
  <c r="H114" i="2" l="1"/>
  <c r="H116" i="2"/>
  <c r="H117" i="2" s="1"/>
  <c r="K114" i="2"/>
  <c r="K116" i="2"/>
  <c r="K117" i="2" s="1"/>
  <c r="J101" i="2"/>
  <c r="U97" i="2"/>
  <c r="V99" i="2"/>
  <c r="W99" i="2" s="1"/>
  <c r="M94" i="2"/>
  <c r="G100" i="2"/>
  <c r="M100" i="2"/>
  <c r="M107" i="2" l="1"/>
  <c r="L113" i="2" s="1"/>
  <c r="M108" i="2"/>
  <c r="I113" i="2" s="1"/>
  <c r="P97" i="2"/>
  <c r="P96" i="2"/>
  <c r="P95" i="2"/>
  <c r="I114" i="2" l="1"/>
  <c r="I116" i="2"/>
  <c r="I117" i="2" s="1"/>
  <c r="L114" i="2"/>
  <c r="L116" i="2"/>
  <c r="L117" i="2" s="1"/>
  <c r="P107" i="2"/>
  <c r="N113" i="2" s="1"/>
  <c r="N114" i="2" s="1"/>
  <c r="P94" i="2"/>
  <c r="P101" i="2"/>
  <c r="P102" i="2"/>
  <c r="N116" i="2" l="1"/>
  <c r="N117" i="2" s="1"/>
  <c r="G97" i="2"/>
  <c r="G95" i="2"/>
  <c r="G101" i="2"/>
  <c r="G107" i="2" l="1"/>
  <c r="P100" i="2"/>
  <c r="F108" i="2" l="1"/>
  <c r="G108" i="2" s="1"/>
  <c r="G113" i="2" s="1"/>
  <c r="G114" i="2" s="1"/>
  <c r="J113" i="2"/>
  <c r="J114" i="2" s="1"/>
  <c r="P108" i="2"/>
  <c r="M113" i="2" s="1"/>
  <c r="M116" i="2" s="1"/>
  <c r="M117" i="2" l="1"/>
  <c r="P116" i="2"/>
  <c r="P117" i="2" s="1"/>
  <c r="M114" i="2"/>
  <c r="P113" i="2"/>
  <c r="P114" i="2" s="1"/>
  <c r="U117" i="2" l="1"/>
  <c r="U114" i="2"/>
</calcChain>
</file>

<file path=xl/sharedStrings.xml><?xml version="1.0" encoding="utf-8"?>
<sst xmlns="http://schemas.openxmlformats.org/spreadsheetml/2006/main" count="378" uniqueCount="159">
  <si>
    <t>Wohnen</t>
  </si>
  <si>
    <t>%</t>
  </si>
  <si>
    <t>Bad</t>
  </si>
  <si>
    <t>Schlafen</t>
  </si>
  <si>
    <t>Stufe 3</t>
  </si>
  <si>
    <t>Kind</t>
  </si>
  <si>
    <t>Stufe 1</t>
  </si>
  <si>
    <t>Stufe</t>
  </si>
  <si>
    <t>Abwesend</t>
  </si>
  <si>
    <t>Stufe 2</t>
  </si>
  <si>
    <t>Zuluft</t>
  </si>
  <si>
    <t>Büro</t>
  </si>
  <si>
    <t>WC/Dusche</t>
  </si>
  <si>
    <t>Küche</t>
  </si>
  <si>
    <t>Abluft</t>
  </si>
  <si>
    <t>Raumfläche</t>
  </si>
  <si>
    <t>LW</t>
  </si>
  <si>
    <t>Vol.</t>
  </si>
  <si>
    <t>Raumhöhe</t>
  </si>
  <si>
    <t>Luftmengendrossel</t>
  </si>
  <si>
    <t>https://www.luftladen.com/luftmengendrossel-967/</t>
  </si>
  <si>
    <t>Fragen:</t>
  </si>
  <si>
    <t>- für was setzt man Stufen ein und wie sollen diese dimensioniert werden? Abwesend ist klar, Stufe 3 Purge, Stufe 1 normalerweise, wann Stufe 2?</t>
  </si>
  <si>
    <t>- wie sieht eine klassische Ansteuerung aus? Zeitschaltprogramm wann was?</t>
  </si>
  <si>
    <t xml:space="preserve">     -&gt; während dem Kochen sollte möglichst tiefe Stufe sein damit kein Fett in Abluft kommt...</t>
  </si>
  <si>
    <t>- Sollte Disbalance mit Lüfterstufen-Setting ausgeglichen werden?</t>
  </si>
  <si>
    <t>Disbalance</t>
  </si>
  <si>
    <t>Vorgehen</t>
  </si>
  <si>
    <t>Entscheid welche LW-Raten bzw. Luftvolumenströme in welchen Räumen anzustreben sind.</t>
  </si>
  <si>
    <t>Prüfung ob durch Luftmengendrosseln etwas optimiert werden kann oder ob schon Drosselelemente vorhanden sind.</t>
  </si>
  <si>
    <t>Erneute Messung um Disbalance raus zu finden.</t>
  </si>
  <si>
    <t>Anpassung Disbalance mit Abluft-Volumenströmen</t>
  </si>
  <si>
    <t>Erneute Messung ob Disbalance behoben ist.</t>
  </si>
  <si>
    <t>Erneute CO2-Messung</t>
  </si>
  <si>
    <t>Zuluft Soll</t>
  </si>
  <si>
    <t>Abluft Soll</t>
  </si>
  <si>
    <t>Ansteuerung überlegen und Einsatz der Stufen mit nötigen m3/h Soll definieren.</t>
  </si>
  <si>
    <t>Überlegen wie Luftströmung sein soll, wo soll Luft durchfliessen (Zuluft vom Schlafzimmer soll in Bad und Küche abgesogen werden wegen Geschmack)</t>
  </si>
  <si>
    <t>Messung vor Reinigung 23.10.2019</t>
  </si>
  <si>
    <t>Fazit:</t>
  </si>
  <si>
    <t>- Falls man Lugtmengendrossel einsetzt, wo platzieren, in Verteilbox oder bei Auslass?</t>
  </si>
  <si>
    <t>- welche Luftwechselraten sollte man anstreben im Normalbetrieb? Welche bei Abwesend so dass es nicht riecht? 0.3-fach?</t>
  </si>
  <si>
    <t>- Sollte beim Kochen auf Abwesend geschalten werden und danach auf Purge? Falls ja, wie automatisieren?  Schaltbare Steckdosen in Luftabzugshaube welche Strom misst? Ggf Messung von Strom für Venti?</t>
  </si>
  <si>
    <t>Aussage</t>
  </si>
  <si>
    <t>Erkenntnis</t>
  </si>
  <si>
    <t>Konsequenz</t>
  </si>
  <si>
    <t>Pendenz</t>
  </si>
  <si>
    <t>verifizieren</t>
  </si>
  <si>
    <t>Bezüglich CO2-Produktion ist ein Aussenluftvolumenstrom von 36 m3/h und Person nötig, Schlafen ist 25 m3/h</t>
  </si>
  <si>
    <t>1. Stufe 1 mit 125 m3/h wäre zu tief...
2. Stufe 1 für Nacht mit 100 m3/h und Stufe 2 für Tag mit 140 m3/h</t>
  </si>
  <si>
    <t>1. Volumenstrom bei Anwesend Tag mindestens 4*36 = 144 m3/h
2. Volumenstrom bei Anwesend Nacht mindestens 4*25 = 100 m3/h</t>
  </si>
  <si>
    <t>Angestrebter Feuchte-Bereich zwischen 30 und 60%rH</t>
  </si>
  <si>
    <t>Bezüglich Feuchte sollte der Volumenstrom so tief wie möglich sein.</t>
  </si>
  <si>
    <t>1. Feuchteregelung auf 40..50%rH</t>
  </si>
  <si>
    <t>Enthalpie-Tauscher kann 5..10%rH - Erhöhung bringen</t>
  </si>
  <si>
    <t>1. Bedarfsabhängige Steuerung des Volumenstromes wäre nötig
2. Ist der Volumenstrom pro Pers. &gt; 30 m3/h -&gt; überlegen, &gt; 40m3/h -&gt; unbedingt reduzieren
3. Bei längerer Abwesenheit muss minimale Stufe eingestellt werden</t>
  </si>
  <si>
    <t>Feuchte von Pflanzen darf nicht überschätzt werden</t>
  </si>
  <si>
    <t>Wäschetrocknen im Raum sollte nur im Winter bei ganz tiefen Aussentemperaturen gemacht werden. Sonst kommt zu viel Feuchte aufs Mal in den Raum.</t>
  </si>
  <si>
    <t>1. Befeuchtung über mechanisches Gerät je nachdem notwendig</t>
  </si>
  <si>
    <t>1. Macht Sinn, erbringt jedoch nicht grosse Wunder. Ggf doch mechanische Befeuchtung notwendig.</t>
  </si>
  <si>
    <t>Wirksame Nachtauskühlung für natürliche Lüftung bedarf 2 bis 3-fachen Luftwechsel pro Stunde.</t>
  </si>
  <si>
    <t>Gekippte Fenster reichen oft nicht aus für eine effiziente Nachtauskühlung mit natürlicher Lüftung. Bei Räumen mit Raumtiefe bis 2.5-facher Raumhöhe reicht eine Fassade, sonst zwei Fassadenöffnungen.</t>
  </si>
  <si>
    <t>Nächtliche mechanische Kühlung meist nicht effektiv und eher hoher Energieaufwand.</t>
  </si>
  <si>
    <t>Messung nach Reinigung 30.10.2019</t>
  </si>
  <si>
    <t>Stromverbrauch KWL</t>
  </si>
  <si>
    <t>m3/h</t>
  </si>
  <si>
    <t>Prinzipiell werden folgende Stufen definiert:
- Abwesend: Lüftung zum Feuchteschutz (bei längeren Abwesenheiten, Sicherstellung Bautenschutz, z.B. intermittierender Betrieb)
- Stufe 1: reduzierte Lüftung (hygienische Mindestanforderung, kurze Abwesenheit oder weniger Personen in Wohnung)
- Stufe 2: Nennlüftung (Sicherstellung hygienische Anforderung und Bautenschutz)
- Stufe 3: Intensivlüftung (Abbau von Lastspitzen oder bei vielen Leuten, Geräusche werden akzeptiert, max. 1h empfohlen)</t>
  </si>
  <si>
    <t>Optimal ist eine Regelung welche CO2- und Feuchte berücksichtigt. Einfe Feuchte über 60% sollte verhindert werden!</t>
  </si>
  <si>
    <t>Eine Feuchteregelung zur Senkung der Feuchte reduziert in feuchten Übergangszeiten den Volumenstrom auf ca. 50% der Dimensionierung.</t>
  </si>
  <si>
    <t>CO2-Regelung am besten so, dass tagsüber ein Sensor im Wohnbereich gilt und in der Nacht einer im Schlafzimmer.</t>
  </si>
  <si>
    <t>Die Lüftung sollte ausbalanciert sein, also bei jeder Stufe gleicher Zu- und Abluftvolumenstrom.</t>
  </si>
  <si>
    <t>In der Nacht ist eine Wohnung eher stärker belegt als am Tag, deshalb normalerweise keine Nachtabsenkung.</t>
  </si>
  <si>
    <t>Tagesaktivität</t>
  </si>
  <si>
    <t>mittel</t>
  </si>
  <si>
    <t xml:space="preserve">hoch </t>
  </si>
  <si>
    <t>4.5 Zimmer</t>
  </si>
  <si>
    <t>hoch</t>
  </si>
  <si>
    <t>Aussenluftvolumenströme pro Wohnung (Wohnzimmer nicht im Durchströmbereich)</t>
  </si>
  <si>
    <t>Pers. Tag</t>
  </si>
  <si>
    <t>Pers. Nacht</t>
  </si>
  <si>
    <t>Volumenstrom Wohnung</t>
  </si>
  <si>
    <t>Zuluftvolumenströme pro Raum</t>
  </si>
  <si>
    <t>Schlafzimmer</t>
  </si>
  <si>
    <t>Schlaf- und Arbeitszimmer nur für 1 Person</t>
  </si>
  <si>
    <t>Gästezimmer</t>
  </si>
  <si>
    <t>Büro, Kinderzimmer</t>
  </si>
  <si>
    <t>Raum nutzbar als Schlafzimmer oder Arbeitszimmer (1 bis zwei Personen)</t>
  </si>
  <si>
    <t>Wohnzimmer</t>
  </si>
  <si>
    <t>Abluftvolumenströme pro Raum</t>
  </si>
  <si>
    <t>Bad, Badewanne, Dusche ohne Waschmaschine</t>
  </si>
  <si>
    <t>mit Waschmaschine</t>
  </si>
  <si>
    <t>einfache Küche</t>
  </si>
  <si>
    <t>gehobene Küche</t>
  </si>
  <si>
    <t>Während dem Kochen sollte der Volumenstrom reduziert werden so dass kein Fett in die Lüftung kommt</t>
  </si>
  <si>
    <t>- Rohrdurchmesser für Luftmengendrossel messen -&gt; 70mm</t>
  </si>
  <si>
    <t>Überlegung Optimaleinstellung</t>
  </si>
  <si>
    <t>Stufe 3 (Intensivlüften)</t>
  </si>
  <si>
    <t>Prinzipiell sollte mittel angestrebt werden!</t>
  </si>
  <si>
    <t>Abwesend (kurze Abwesenheit)</t>
  </si>
  <si>
    <t>Stufe 1 (Nennbetrieb)</t>
  </si>
  <si>
    <t>Stufe 2 (erhöhter Betrieb)</t>
  </si>
  <si>
    <t>Faktor</t>
  </si>
  <si>
    <t>ZUL</t>
  </si>
  <si>
    <t>ABL</t>
  </si>
  <si>
    <t>HEX</t>
  </si>
  <si>
    <t>Start</t>
  </si>
  <si>
    <t>Kommando</t>
  </si>
  <si>
    <t>Anzahl Daten</t>
  </si>
  <si>
    <t>1. Byte</t>
  </si>
  <si>
    <t>2. Byte</t>
  </si>
  <si>
    <t>3. Byte</t>
  </si>
  <si>
    <t>4. Byte</t>
  </si>
  <si>
    <t>5. Byte</t>
  </si>
  <si>
    <t>6. Byte</t>
  </si>
  <si>
    <t>7. Byte</t>
  </si>
  <si>
    <t>8. Byte</t>
  </si>
  <si>
    <t>9. Byte</t>
  </si>
  <si>
    <t>Checksumme</t>
  </si>
  <si>
    <t>Ende</t>
  </si>
  <si>
    <t>Ganzer Befehl</t>
  </si>
  <si>
    <t>\x07\xF0</t>
  </si>
  <si>
    <t>CF</t>
  </si>
  <si>
    <t>\x07\x0F</t>
  </si>
  <si>
    <t>ABL Abw</t>
  </si>
  <si>
    <t>ABL Stufe 1</t>
  </si>
  <si>
    <t>ABL Stufe 2</t>
  </si>
  <si>
    <t>ZUL Abw</t>
  </si>
  <si>
    <t>ZUL Stufe 1</t>
  </si>
  <si>
    <t>ZUL Stufe 2</t>
  </si>
  <si>
    <t>ABL Stufe 3</t>
  </si>
  <si>
    <t>ZUL Stufe 3</t>
  </si>
  <si>
    <t>SetAirFlAbs00</t>
  </si>
  <si>
    <t>SetAirFlAbs15</t>
  </si>
  <si>
    <t>Faktoren</t>
  </si>
  <si>
    <t>m</t>
  </si>
  <si>
    <t>- Disbalance zwischen ABL und ZUL entweder zu hoch oder zu tief</t>
  </si>
  <si>
    <t>- wenig Luft strömt von Küche in Schlafzimmer</t>
  </si>
  <si>
    <t>- Schlafen hat auf Stufe 1 viel zu wenig Luft, Wohnen hat auch relativ wenig, Kinderzimmer und Büro eher viel</t>
  </si>
  <si>
    <t>- Reinigungseffekt nicht sichtbar</t>
  </si>
  <si>
    <t>Messung 10.11.2019</t>
  </si>
  <si>
    <t>- Ausgleich hat geklappt mit Drossel-Widerständen</t>
  </si>
  <si>
    <t>- in etwa noch gleiche Werte wie Vormessung</t>
  </si>
  <si>
    <t>- Disbalance weggebracht</t>
  </si>
  <si>
    <t>- genügend Luft in Schlafzimmer und Wohnen</t>
  </si>
  <si>
    <t>- WC/Dusche hat zu wenig, 35m3/h sollte wegen Waschmaschine sein</t>
  </si>
  <si>
    <t>- WC/Dusche hat nun die 35m3/h</t>
  </si>
  <si>
    <t>- Büro und Kind haben etwas weniger, aber immer noch genügend um dort zu schlafen (1 Person)</t>
  </si>
  <si>
    <t>Drossel</t>
  </si>
  <si>
    <t>Berechnung der Drosselwiderstände</t>
  </si>
  <si>
    <t>Soll</t>
  </si>
  <si>
    <t>Ist mit Drossel</t>
  </si>
  <si>
    <t>Messung nach Reinigung 10.11.2019 mit Drosseln</t>
  </si>
  <si>
    <t>Messung nach Reinigung 10.11.2019 mit Drosseln und Anpassung ZUL-Volumenstrom</t>
  </si>
  <si>
    <t>- Luft strömt nun vom Schlafzimmer in die Küche</t>
  </si>
  <si>
    <t>CO2-Messung in Wohnzimmer und Schlafzimmer</t>
  </si>
  <si>
    <t>Wenn aber Fenster eh geöffnet werden, so kann Zuluftventilator ausgeschaltet werden. Der bringt sonst nur warme Luft rein und der Strom für den Venti kann gespart werden.</t>
  </si>
  <si>
    <t>Über Strommessung erkennen.</t>
  </si>
  <si>
    <t>Aussenluftvolumenströme pro Person in m3/h</t>
  </si>
  <si>
    <t>Leistung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</si>
</sst>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&quot; m2&quot;"/>
    <numFmt numFmtId="166" formatCode="0&quot; m3/h&quot;"/>
    <numFmt numFmtId="167" formatCode="0.0&quot; m3/h&quot;"/>
    <numFmt numFmtId="168" formatCode="00"/>
    <numFmt numFmtId="169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ebdings"/>
      <family val="1"/>
      <charset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16" fillId="0" borderId="0" xfId="0" applyFont="1"/>
    <xf numFmtId="0" fontId="13" fillId="34" borderId="10" xfId="0" applyFont="1" applyFill="1" applyBorder="1"/>
    <xf numFmtId="0" fontId="13" fillId="34" borderId="1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0" fontId="0" fillId="0" borderId="11" xfId="0" applyBorder="1"/>
    <xf numFmtId="9" fontId="0" fillId="0" borderId="0" xfId="42" applyFont="1" applyBorder="1" applyAlignment="1">
      <alignment horizontal="center"/>
    </xf>
    <xf numFmtId="0" fontId="16" fillId="35" borderId="13" xfId="0" applyFont="1" applyFill="1" applyBorder="1"/>
    <xf numFmtId="2" fontId="0" fillId="35" borderId="14" xfId="0" applyNumberFormat="1" applyFill="1" applyBorder="1"/>
    <xf numFmtId="2" fontId="0" fillId="35" borderId="13" xfId="0" applyNumberFormat="1" applyFill="1" applyBorder="1" applyAlignment="1">
      <alignment horizontal="center"/>
    </xf>
    <xf numFmtId="2" fontId="0" fillId="35" borderId="13" xfId="0" applyNumberFormat="1" applyFill="1" applyBorder="1" applyAlignment="1">
      <alignment horizontal="left"/>
    </xf>
    <xf numFmtId="0" fontId="0" fillId="35" borderId="13" xfId="0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9" fontId="0" fillId="35" borderId="13" xfId="42" applyFont="1" applyFill="1" applyBorder="1" applyAlignment="1">
      <alignment horizontal="center"/>
    </xf>
    <xf numFmtId="9" fontId="0" fillId="35" borderId="13" xfId="42" applyFont="1" applyFill="1" applyBorder="1" applyAlignment="1">
      <alignment horizontal="left"/>
    </xf>
    <xf numFmtId="0" fontId="16" fillId="35" borderId="13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6" fillId="35" borderId="1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6" fontId="16" fillId="35" borderId="14" xfId="0" applyNumberFormat="1" applyFont="1" applyFill="1" applyBorder="1"/>
    <xf numFmtId="0" fontId="13" fillId="34" borderId="12" xfId="0" applyFont="1" applyFill="1" applyBorder="1" applyAlignment="1">
      <alignment horizontal="center"/>
    </xf>
    <xf numFmtId="0" fontId="0" fillId="33" borderId="0" xfId="0" applyFill="1"/>
    <xf numFmtId="2" fontId="0" fillId="0" borderId="0" xfId="42" applyNumberFormat="1" applyFont="1" applyBorder="1" applyAlignment="1">
      <alignment horizontal="center"/>
    </xf>
    <xf numFmtId="166" fontId="0" fillId="37" borderId="11" xfId="0" applyNumberFormat="1" applyFill="1" applyBorder="1"/>
    <xf numFmtId="0" fontId="18" fillId="0" borderId="0" xfId="43"/>
    <xf numFmtId="2" fontId="0" fillId="36" borderId="0" xfId="42" applyNumberFormat="1" applyFont="1" applyFill="1" applyBorder="1" applyAlignment="1">
      <alignment horizontal="center"/>
    </xf>
    <xf numFmtId="0" fontId="0" fillId="0" borderId="0" xfId="0" quotePrefix="1"/>
    <xf numFmtId="2" fontId="0" fillId="0" borderId="0" xfId="42" applyNumberFormat="1" applyFont="1" applyFill="1" applyBorder="1" applyAlignment="1">
      <alignment horizontal="center"/>
    </xf>
    <xf numFmtId="166" fontId="16" fillId="37" borderId="1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66" fontId="0" fillId="37" borderId="26" xfId="0" applyNumberFormat="1" applyFill="1" applyBorder="1" applyAlignment="1">
      <alignment horizontal="center"/>
    </xf>
    <xf numFmtId="166" fontId="0" fillId="37" borderId="18" xfId="0" applyNumberFormat="1" applyFill="1" applyBorder="1" applyAlignment="1">
      <alignment horizontal="center"/>
    </xf>
    <xf numFmtId="166" fontId="0" fillId="37" borderId="23" xfId="0" applyNumberFormat="1" applyFill="1" applyBorder="1" applyAlignment="1">
      <alignment horizontal="center"/>
    </xf>
    <xf numFmtId="166" fontId="0" fillId="37" borderId="0" xfId="0" applyNumberFormat="1" applyFill="1" applyAlignment="1">
      <alignment horizontal="center"/>
    </xf>
    <xf numFmtId="166" fontId="0" fillId="37" borderId="16" xfId="0" applyNumberFormat="1" applyFill="1" applyBorder="1" applyAlignment="1">
      <alignment horizontal="center"/>
    </xf>
    <xf numFmtId="0" fontId="0" fillId="0" borderId="28" xfId="0" applyBorder="1"/>
    <xf numFmtId="166" fontId="0" fillId="0" borderId="25" xfId="0" applyNumberFormat="1" applyBorder="1" applyAlignment="1">
      <alignment horizontal="center"/>
    </xf>
    <xf numFmtId="166" fontId="0" fillId="37" borderId="22" xfId="0" applyNumberFormat="1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9" fontId="0" fillId="37" borderId="0" xfId="42" applyFont="1" applyFill="1" applyAlignment="1">
      <alignment horizontal="center"/>
    </xf>
    <xf numFmtId="0" fontId="1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38" borderId="0" xfId="0" quotePrefix="1" applyFill="1"/>
    <xf numFmtId="0" fontId="0" fillId="38" borderId="0" xfId="0" applyFill="1"/>
    <xf numFmtId="166" fontId="0" fillId="0" borderId="11" xfId="0" applyNumberFormat="1" applyBorder="1"/>
    <xf numFmtId="9" fontId="0" fillId="37" borderId="0" xfId="42" applyFont="1" applyFill="1" applyBorder="1" applyAlignment="1">
      <alignment horizontal="center"/>
    </xf>
    <xf numFmtId="166" fontId="0" fillId="0" borderId="0" xfId="0" applyNumberFormat="1"/>
    <xf numFmtId="167" fontId="16" fillId="37" borderId="14" xfId="0" applyNumberFormat="1" applyFont="1" applyFill="1" applyBorder="1"/>
    <xf numFmtId="167" fontId="16" fillId="35" borderId="14" xfId="0" applyNumberFormat="1" applyFont="1" applyFill="1" applyBorder="1"/>
    <xf numFmtId="1" fontId="0" fillId="0" borderId="0" xfId="42" applyNumberFormat="1" applyFont="1"/>
    <xf numFmtId="0" fontId="16" fillId="39" borderId="29" xfId="0" applyFont="1" applyFill="1" applyBorder="1"/>
    <xf numFmtId="0" fontId="16" fillId="39" borderId="29" xfId="0" applyFont="1" applyFill="1" applyBorder="1" applyAlignment="1">
      <alignment horizontal="center"/>
    </xf>
    <xf numFmtId="0" fontId="16" fillId="39" borderId="29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left" vertical="center"/>
    </xf>
    <xf numFmtId="168" fontId="0" fillId="33" borderId="0" xfId="0" applyNumberFormat="1" applyFill="1" applyAlignment="1">
      <alignment horizontal="left" vertical="center"/>
    </xf>
    <xf numFmtId="168" fontId="14" fillId="33" borderId="0" xfId="0" applyNumberFormat="1" applyFont="1" applyFill="1" applyAlignment="1">
      <alignment horizontal="left" vertical="center"/>
    </xf>
    <xf numFmtId="0" fontId="0" fillId="38" borderId="0" xfId="0" applyFill="1" applyAlignment="1">
      <alignment vertical="top" wrapText="1"/>
    </xf>
    <xf numFmtId="0" fontId="0" fillId="40" borderId="0" xfId="0" applyFill="1"/>
    <xf numFmtId="0" fontId="16" fillId="38" borderId="0" xfId="0" applyFont="1" applyFill="1"/>
    <xf numFmtId="0" fontId="0" fillId="38" borderId="0" xfId="0" applyFill="1" applyAlignment="1">
      <alignment horizontal="center"/>
    </xf>
    <xf numFmtId="0" fontId="0" fillId="38" borderId="0" xfId="0" applyFill="1" applyAlignment="1">
      <alignment horizontal="left"/>
    </xf>
    <xf numFmtId="0" fontId="0" fillId="37" borderId="0" xfId="0" applyFill="1"/>
    <xf numFmtId="167" fontId="16" fillId="35" borderId="14" xfId="0" applyNumberFormat="1" applyFont="1" applyFill="1" applyBorder="1" applyAlignment="1">
      <alignment horizontal="center"/>
    </xf>
    <xf numFmtId="0" fontId="16" fillId="38" borderId="0" xfId="0" applyFont="1" applyFill="1" applyAlignment="1">
      <alignment horizontal="right"/>
    </xf>
    <xf numFmtId="165" fontId="16" fillId="35" borderId="13" xfId="0" applyNumberFormat="1" applyFont="1" applyFill="1" applyBorder="1" applyAlignment="1">
      <alignment horizontal="center"/>
    </xf>
    <xf numFmtId="0" fontId="0" fillId="0" borderId="0" xfId="0" quotePrefix="1" applyAlignment="1">
      <alignment horizontal="right"/>
    </xf>
    <xf numFmtId="0" fontId="13" fillId="34" borderId="0" xfId="0" applyFont="1" applyFill="1" applyAlignment="1">
      <alignment horizontal="center"/>
    </xf>
    <xf numFmtId="1" fontId="16" fillId="0" borderId="0" xfId="0" applyNumberFormat="1" applyFont="1"/>
    <xf numFmtId="9" fontId="0" fillId="40" borderId="0" xfId="0" applyNumberFormat="1" applyFill="1" applyAlignment="1">
      <alignment horizontal="center"/>
    </xf>
    <xf numFmtId="9" fontId="0" fillId="40" borderId="0" xfId="0" quotePrefix="1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/>
    <xf numFmtId="0" fontId="16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right"/>
    </xf>
    <xf numFmtId="9" fontId="16" fillId="35" borderId="13" xfId="42" applyFont="1" applyFill="1" applyBorder="1" applyAlignment="1">
      <alignment horizontal="center"/>
    </xf>
    <xf numFmtId="2" fontId="0" fillId="36" borderId="14" xfId="0" applyNumberFormat="1" applyFill="1" applyBorder="1"/>
    <xf numFmtId="0" fontId="13" fillId="34" borderId="12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  <xf numFmtId="0" fontId="16" fillId="39" borderId="11" xfId="0" applyFont="1" applyFill="1" applyBorder="1" applyAlignment="1">
      <alignment horizontal="left"/>
    </xf>
    <xf numFmtId="0" fontId="16" fillId="39" borderId="0" xfId="0" applyFont="1" applyFill="1" applyAlignment="1">
      <alignment horizontal="left"/>
    </xf>
    <xf numFmtId="0" fontId="16" fillId="39" borderId="30" xfId="0" applyFont="1" applyFill="1" applyBorder="1" applyAlignment="1">
      <alignment horizontal="center"/>
    </xf>
    <xf numFmtId="0" fontId="16" fillId="39" borderId="31" xfId="0" applyFont="1" applyFill="1" applyBorder="1" applyAlignment="1">
      <alignment horizontal="center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3" builtinId="8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Stromverbrauch!$B$2</c:f>
              <c:strCache>
                <c:ptCount val="1"/>
                <c:pt idx="0">
                  <c:v>Stromverbrauch KWL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Stromverbrauch!$B$4:$B$7</c:f>
              <c:numCache>
                <c:formatCode>General</c:formatCode>
                <c:ptCount val="4"/>
                <c:pt idx="0">
                  <c:v>52.5</c:v>
                </c:pt>
                <c:pt idx="1">
                  <c:v>122.5</c:v>
                </c:pt>
                <c:pt idx="2">
                  <c:v>175</c:v>
                </c:pt>
                <c:pt idx="3">
                  <c:v>350</c:v>
                </c:pt>
              </c:numCache>
            </c:numRef>
          </c:xVal>
          <c:yVal>
            <c:numRef>
              <c:f>Stromverbrauch!$C$4:$C$7</c:f>
              <c:numCache>
                <c:formatCode>General</c:formatCode>
                <c:ptCount val="4"/>
                <c:pt idx="0">
                  <c:v>13</c:v>
                </c:pt>
                <c:pt idx="1">
                  <c:v>23</c:v>
                </c:pt>
                <c:pt idx="2">
                  <c:v>47</c:v>
                </c:pt>
                <c:pt idx="3">
                  <c:v>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3-DE47-AF2C-57AD1E19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412432"/>
        <c:axId val="1745782848"/>
      </c:scatterChart>
      <c:valAx>
        <c:axId val="17704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5782848"/>
        <c:crosses val="autoZero"/>
        <c:crossBetween val="midCat"/>
      </c:valAx>
      <c:valAx>
        <c:axId val="17457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04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</xdr:rowOff>
    </xdr:from>
    <xdr:to>
      <xdr:col>9</xdr:col>
      <xdr:colOff>444500</xdr:colOff>
      <xdr:row>16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9E9C1E-5291-B043-8AED-BAB5EDF47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uftladen.com/luftmengendrossel-967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6"/>
  <sheetViews>
    <sheetView showGridLines="0" workbookViewId="0">
      <selection activeCell="E49" sqref="E49"/>
    </sheetView>
  </sheetViews>
  <sheetFormatPr baseColWidth="10" defaultRowHeight="14.5" x14ac:dyDescent="0.35"/>
  <sheetData>
    <row r="2" spans="2:9" x14ac:dyDescent="0.35">
      <c r="B2" s="1" t="s">
        <v>19</v>
      </c>
      <c r="I2" s="1"/>
    </row>
    <row r="3" spans="2:9" x14ac:dyDescent="0.35">
      <c r="B3" s="27" t="s">
        <v>20</v>
      </c>
      <c r="I3" s="27"/>
    </row>
    <row r="6" spans="2:9" x14ac:dyDescent="0.35">
      <c r="B6" s="1" t="s">
        <v>21</v>
      </c>
    </row>
    <row r="7" spans="2:9" s="59" customFormat="1" x14ac:dyDescent="0.35">
      <c r="B7" s="58" t="s">
        <v>22</v>
      </c>
    </row>
    <row r="8" spans="2:9" s="59" customFormat="1" x14ac:dyDescent="0.35">
      <c r="B8" s="58" t="s">
        <v>23</v>
      </c>
    </row>
    <row r="9" spans="2:9" s="59" customFormat="1" x14ac:dyDescent="0.35">
      <c r="B9" s="58" t="s">
        <v>24</v>
      </c>
    </row>
    <row r="10" spans="2:9" s="59" customFormat="1" x14ac:dyDescent="0.35">
      <c r="B10" s="58" t="s">
        <v>41</v>
      </c>
    </row>
    <row r="11" spans="2:9" s="59" customFormat="1" x14ac:dyDescent="0.35">
      <c r="B11" s="58" t="s">
        <v>25</v>
      </c>
    </row>
    <row r="12" spans="2:9" x14ac:dyDescent="0.35">
      <c r="B12" s="29" t="s">
        <v>40</v>
      </c>
    </row>
    <row r="13" spans="2:9" s="59" customFormat="1" x14ac:dyDescent="0.35">
      <c r="B13" s="58" t="s">
        <v>94</v>
      </c>
    </row>
    <row r="14" spans="2:9" x14ac:dyDescent="0.35">
      <c r="B14" s="29" t="s">
        <v>42</v>
      </c>
    </row>
    <row r="15" spans="2:9" x14ac:dyDescent="0.35">
      <c r="B15" s="29"/>
    </row>
    <row r="17" spans="2:2" x14ac:dyDescent="0.35">
      <c r="B17" s="1" t="s">
        <v>27</v>
      </c>
    </row>
    <row r="18" spans="2:2" x14ac:dyDescent="0.35">
      <c r="B18" t="s">
        <v>154</v>
      </c>
    </row>
    <row r="19" spans="2:2" x14ac:dyDescent="0.35">
      <c r="B19" t="s">
        <v>37</v>
      </c>
    </row>
    <row r="20" spans="2:2" x14ac:dyDescent="0.35">
      <c r="B20" t="s">
        <v>28</v>
      </c>
    </row>
    <row r="21" spans="2:2" x14ac:dyDescent="0.35">
      <c r="B21" t="s">
        <v>36</v>
      </c>
    </row>
    <row r="22" spans="2:2" x14ac:dyDescent="0.35">
      <c r="B22" t="s">
        <v>29</v>
      </c>
    </row>
    <row r="23" spans="2:2" x14ac:dyDescent="0.35">
      <c r="B23" t="s">
        <v>30</v>
      </c>
    </row>
    <row r="24" spans="2:2" x14ac:dyDescent="0.35">
      <c r="B24" t="s">
        <v>31</v>
      </c>
    </row>
    <row r="25" spans="2:2" x14ac:dyDescent="0.35">
      <c r="B25" t="s">
        <v>32</v>
      </c>
    </row>
    <row r="26" spans="2:2" x14ac:dyDescent="0.35">
      <c r="B26" t="s">
        <v>33</v>
      </c>
    </row>
  </sheetData>
  <hyperlinks>
    <hyperlink ref="B3" r:id="rId1" xr:uid="{00000000-0004-0000-0000-000000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8"/>
  <sheetViews>
    <sheetView zoomScale="85" zoomScaleNormal="85" workbookViewId="0">
      <selection activeCell="B29" sqref="B29"/>
    </sheetView>
  </sheetViews>
  <sheetFormatPr baseColWidth="10" defaultColWidth="11.453125" defaultRowHeight="14.5" x14ac:dyDescent="0.35"/>
  <cols>
    <col min="1" max="1" width="11.453125" style="53"/>
    <col min="2" max="2" width="100.6328125" style="53" bestFit="1" customWidth="1"/>
    <col min="3" max="3" width="90" style="53" customWidth="1"/>
    <col min="4" max="4" width="66.81640625" style="53" customWidth="1"/>
    <col min="5" max="16384" width="11.453125" style="53"/>
  </cols>
  <sheetData>
    <row r="2" spans="2:5" x14ac:dyDescent="0.35">
      <c r="B2" s="52" t="s">
        <v>43</v>
      </c>
      <c r="C2" s="52" t="s">
        <v>44</v>
      </c>
      <c r="D2" s="52" t="s">
        <v>45</v>
      </c>
      <c r="E2" s="52" t="s">
        <v>46</v>
      </c>
    </row>
    <row r="3" spans="2:5" ht="29" x14ac:dyDescent="0.35">
      <c r="B3" s="54" t="s">
        <v>48</v>
      </c>
      <c r="C3" s="54" t="s">
        <v>50</v>
      </c>
      <c r="D3" s="54" t="s">
        <v>49</v>
      </c>
      <c r="E3" s="53" t="s">
        <v>47</v>
      </c>
    </row>
    <row r="4" spans="2:5" x14ac:dyDescent="0.35">
      <c r="B4" s="53" t="s">
        <v>51</v>
      </c>
      <c r="C4" s="54" t="s">
        <v>53</v>
      </c>
    </row>
    <row r="5" spans="2:5" ht="43.5" x14ac:dyDescent="0.35">
      <c r="B5" s="53" t="s">
        <v>52</v>
      </c>
      <c r="C5" s="54" t="s">
        <v>55</v>
      </c>
    </row>
    <row r="6" spans="2:5" x14ac:dyDescent="0.35">
      <c r="B6" s="53" t="s">
        <v>54</v>
      </c>
      <c r="C6" s="54" t="s">
        <v>59</v>
      </c>
    </row>
    <row r="7" spans="2:5" x14ac:dyDescent="0.35">
      <c r="B7" s="53" t="s">
        <v>56</v>
      </c>
      <c r="C7" s="54" t="s">
        <v>58</v>
      </c>
    </row>
    <row r="8" spans="2:5" ht="29" x14ac:dyDescent="0.35">
      <c r="B8" s="53" t="s">
        <v>57</v>
      </c>
      <c r="C8" s="54" t="s">
        <v>58</v>
      </c>
    </row>
    <row r="9" spans="2:5" x14ac:dyDescent="0.35">
      <c r="B9" s="53" t="s">
        <v>60</v>
      </c>
    </row>
    <row r="10" spans="2:5" ht="29" x14ac:dyDescent="0.35">
      <c r="B10" s="53" t="s">
        <v>61</v>
      </c>
    </row>
    <row r="11" spans="2:5" ht="29" x14ac:dyDescent="0.35">
      <c r="B11" s="73" t="s">
        <v>62</v>
      </c>
      <c r="C11" s="53" t="s">
        <v>155</v>
      </c>
    </row>
    <row r="12" spans="2:5" ht="116" x14ac:dyDescent="0.35">
      <c r="B12" s="73" t="s">
        <v>66</v>
      </c>
    </row>
    <row r="13" spans="2:5" x14ac:dyDescent="0.35">
      <c r="B13" s="53" t="s">
        <v>67</v>
      </c>
    </row>
    <row r="14" spans="2:5" ht="29" x14ac:dyDescent="0.35">
      <c r="B14" s="73" t="s">
        <v>68</v>
      </c>
    </row>
    <row r="15" spans="2:5" ht="29.5" customHeight="1" x14ac:dyDescent="0.35">
      <c r="B15" s="53" t="s">
        <v>69</v>
      </c>
    </row>
    <row r="16" spans="2:5" x14ac:dyDescent="0.35">
      <c r="B16" s="73" t="s">
        <v>70</v>
      </c>
    </row>
    <row r="17" spans="2:3" x14ac:dyDescent="0.35">
      <c r="B17" s="73" t="s">
        <v>71</v>
      </c>
    </row>
    <row r="18" spans="2:3" x14ac:dyDescent="0.35">
      <c r="B18" s="73" t="s">
        <v>93</v>
      </c>
      <c r="C18" s="53" t="s">
        <v>156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D101-012E-9E42-A8A0-8F2F945FCC0B}">
  <dimension ref="B1:N24"/>
  <sheetViews>
    <sheetView showGridLines="0" workbookViewId="0">
      <selection activeCell="H30" sqref="H30"/>
    </sheetView>
  </sheetViews>
  <sheetFormatPr baseColWidth="10" defaultRowHeight="14.5" x14ac:dyDescent="0.35"/>
  <cols>
    <col min="2" max="2" width="67.6328125" bestFit="1" customWidth="1"/>
    <col min="9" max="9" width="10.6328125" customWidth="1"/>
    <col min="11" max="11" width="10.1796875" customWidth="1"/>
  </cols>
  <sheetData>
    <row r="1" spans="2:14" x14ac:dyDescent="0.35">
      <c r="B1" s="89" t="s">
        <v>97</v>
      </c>
      <c r="F1" s="1" t="s">
        <v>80</v>
      </c>
      <c r="I1" t="s">
        <v>82</v>
      </c>
      <c r="K1" t="s">
        <v>85</v>
      </c>
      <c r="M1" t="s">
        <v>87</v>
      </c>
    </row>
    <row r="2" spans="2:14" x14ac:dyDescent="0.35">
      <c r="F2" t="s">
        <v>78</v>
      </c>
      <c r="G2" t="s">
        <v>79</v>
      </c>
      <c r="I2" t="s">
        <v>79</v>
      </c>
    </row>
    <row r="3" spans="2:14" x14ac:dyDescent="0.35">
      <c r="B3" s="90" t="s">
        <v>157</v>
      </c>
      <c r="C3" s="91"/>
      <c r="D3" s="91"/>
      <c r="E3" s="91"/>
      <c r="F3" s="91">
        <v>3</v>
      </c>
      <c r="G3" s="91">
        <v>4</v>
      </c>
      <c r="H3" s="91"/>
      <c r="I3" s="91">
        <v>3</v>
      </c>
      <c r="J3" s="91"/>
      <c r="K3" s="91"/>
      <c r="L3" s="91"/>
      <c r="M3" s="91"/>
      <c r="N3" s="91"/>
    </row>
    <row r="4" spans="2:14" x14ac:dyDescent="0.35">
      <c r="C4" s="55" t="s">
        <v>73</v>
      </c>
      <c r="D4" s="55" t="s">
        <v>74</v>
      </c>
      <c r="F4" s="55" t="s">
        <v>73</v>
      </c>
      <c r="G4" s="55" t="s">
        <v>76</v>
      </c>
      <c r="I4" s="55" t="s">
        <v>73</v>
      </c>
      <c r="J4" s="55" t="s">
        <v>76</v>
      </c>
      <c r="K4" s="55" t="s">
        <v>73</v>
      </c>
      <c r="L4" s="55" t="s">
        <v>76</v>
      </c>
      <c r="M4" s="55" t="s">
        <v>73</v>
      </c>
      <c r="N4" s="55" t="s">
        <v>76</v>
      </c>
    </row>
    <row r="5" spans="2:14" x14ac:dyDescent="0.35">
      <c r="B5" t="s">
        <v>72</v>
      </c>
      <c r="C5">
        <v>23</v>
      </c>
      <c r="D5">
        <v>33</v>
      </c>
      <c r="F5">
        <f>C5*F3</f>
        <v>69</v>
      </c>
      <c r="G5">
        <f>F3*D5</f>
        <v>99</v>
      </c>
    </row>
    <row r="6" spans="2:14" x14ac:dyDescent="0.35">
      <c r="B6" t="s">
        <v>3</v>
      </c>
      <c r="C6">
        <v>15</v>
      </c>
      <c r="D6">
        <v>22</v>
      </c>
      <c r="F6">
        <f>G3*C6</f>
        <v>60</v>
      </c>
      <c r="G6">
        <f>G3*D6</f>
        <v>88</v>
      </c>
      <c r="I6" s="59">
        <f>I3*C6</f>
        <v>45</v>
      </c>
      <c r="J6">
        <f>I3*D6</f>
        <v>66</v>
      </c>
    </row>
    <row r="9" spans="2:14" x14ac:dyDescent="0.35">
      <c r="B9" s="90" t="s">
        <v>77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</row>
    <row r="10" spans="2:14" x14ac:dyDescent="0.35">
      <c r="C10" s="55" t="s">
        <v>73</v>
      </c>
      <c r="D10" s="55" t="s">
        <v>76</v>
      </c>
    </row>
    <row r="11" spans="2:14" x14ac:dyDescent="0.35">
      <c r="B11" t="s">
        <v>75</v>
      </c>
      <c r="C11">
        <v>120</v>
      </c>
      <c r="D11">
        <v>135</v>
      </c>
      <c r="F11">
        <f>C11</f>
        <v>120</v>
      </c>
      <c r="G11">
        <f>D11</f>
        <v>135</v>
      </c>
    </row>
    <row r="14" spans="2:14" x14ac:dyDescent="0.35">
      <c r="B14" s="90" t="s">
        <v>81</v>
      </c>
      <c r="C14" s="92" t="s">
        <v>73</v>
      </c>
      <c r="D14" s="92" t="s">
        <v>76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</row>
    <row r="15" spans="2:14" x14ac:dyDescent="0.35">
      <c r="B15" t="s">
        <v>86</v>
      </c>
      <c r="C15">
        <v>30</v>
      </c>
      <c r="D15">
        <v>35</v>
      </c>
      <c r="I15">
        <v>30</v>
      </c>
      <c r="J15">
        <v>35</v>
      </c>
      <c r="M15">
        <v>30</v>
      </c>
      <c r="N15">
        <v>35</v>
      </c>
    </row>
    <row r="16" spans="2:14" x14ac:dyDescent="0.35">
      <c r="B16" t="s">
        <v>83</v>
      </c>
      <c r="C16">
        <v>25</v>
      </c>
      <c r="D16">
        <v>30</v>
      </c>
      <c r="K16">
        <v>25</v>
      </c>
      <c r="L16">
        <v>30</v>
      </c>
    </row>
    <row r="17" spans="2:14" x14ac:dyDescent="0.35">
      <c r="B17" t="s">
        <v>84</v>
      </c>
      <c r="C17">
        <v>20</v>
      </c>
      <c r="D17">
        <v>25</v>
      </c>
    </row>
    <row r="20" spans="2:14" x14ac:dyDescent="0.35">
      <c r="B20" s="90" t="s">
        <v>88</v>
      </c>
      <c r="C20" s="92" t="s">
        <v>73</v>
      </c>
      <c r="D20" s="92" t="s">
        <v>76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</row>
    <row r="21" spans="2:14" x14ac:dyDescent="0.35">
      <c r="B21" t="s">
        <v>89</v>
      </c>
      <c r="C21">
        <v>30</v>
      </c>
      <c r="D21">
        <v>40</v>
      </c>
    </row>
    <row r="22" spans="2:14" x14ac:dyDescent="0.35">
      <c r="B22" t="s">
        <v>90</v>
      </c>
      <c r="C22">
        <v>35</v>
      </c>
      <c r="D22">
        <v>50</v>
      </c>
    </row>
    <row r="23" spans="2:14" x14ac:dyDescent="0.35">
      <c r="B23" t="s">
        <v>91</v>
      </c>
      <c r="C23">
        <v>30</v>
      </c>
      <c r="D23">
        <v>40</v>
      </c>
    </row>
    <row r="24" spans="2:14" x14ac:dyDescent="0.35">
      <c r="B24" t="s">
        <v>92</v>
      </c>
      <c r="C24">
        <v>35</v>
      </c>
      <c r="D24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Z141"/>
  <sheetViews>
    <sheetView showGridLines="0" tabSelected="1" topLeftCell="A89" workbookViewId="0">
      <selection activeCell="J118" sqref="J118"/>
    </sheetView>
  </sheetViews>
  <sheetFormatPr baseColWidth="10" defaultRowHeight="14.5" outlineLevelRow="1" x14ac:dyDescent="0.35"/>
  <cols>
    <col min="2" max="2" width="12" customWidth="1"/>
    <col min="6" max="6" width="10.81640625" customWidth="1"/>
    <col min="9" max="9" width="10.81640625" customWidth="1"/>
    <col min="12" max="12" width="10.81640625" customWidth="1"/>
    <col min="14" max="14" width="11.36328125" bestFit="1" customWidth="1"/>
    <col min="15" max="15" width="10.81640625" customWidth="1"/>
    <col min="17" max="17" width="12.1796875" customWidth="1"/>
    <col min="18" max="19" width="9.36328125" customWidth="1"/>
    <col min="20" max="20" width="9.36328125" style="5" customWidth="1"/>
    <col min="24" max="24" width="11.6328125" bestFit="1" customWidth="1"/>
  </cols>
  <sheetData>
    <row r="2" spans="2:24" x14ac:dyDescent="0.35">
      <c r="B2" t="s">
        <v>18</v>
      </c>
      <c r="C2" s="24">
        <v>2.4</v>
      </c>
      <c r="D2" s="24" t="s">
        <v>134</v>
      </c>
      <c r="F2" s="5"/>
      <c r="G2" s="4"/>
      <c r="I2" s="5"/>
      <c r="J2" s="4"/>
      <c r="L2" s="5"/>
      <c r="M2" s="5"/>
      <c r="O2" s="5"/>
      <c r="P2" s="4"/>
    </row>
    <row r="3" spans="2:24" x14ac:dyDescent="0.35">
      <c r="F3" s="5"/>
      <c r="G3" s="4"/>
      <c r="I3" s="5"/>
      <c r="J3" s="4"/>
      <c r="L3" s="5"/>
      <c r="M3" s="5"/>
      <c r="O3" s="5"/>
      <c r="P3" s="4"/>
    </row>
    <row r="4" spans="2:24" x14ac:dyDescent="0.35">
      <c r="B4" s="1" t="s">
        <v>38</v>
      </c>
      <c r="C4" s="1"/>
      <c r="D4" s="1"/>
      <c r="F4" s="5"/>
      <c r="G4" s="4"/>
      <c r="I4" s="5"/>
      <c r="J4" s="4"/>
      <c r="L4" s="5"/>
      <c r="M4" s="5"/>
      <c r="O4" s="5"/>
      <c r="P4" s="4"/>
    </row>
    <row r="5" spans="2:24" hidden="1" outlineLevel="1" x14ac:dyDescent="0.35">
      <c r="B5" s="2" t="s">
        <v>7</v>
      </c>
      <c r="C5" s="3" t="s">
        <v>15</v>
      </c>
      <c r="D5" s="3"/>
      <c r="E5" s="95" t="s">
        <v>8</v>
      </c>
      <c r="F5" s="96"/>
      <c r="G5" s="97"/>
      <c r="H5" s="95" t="s">
        <v>6</v>
      </c>
      <c r="I5" s="96"/>
      <c r="J5" s="97"/>
      <c r="K5" s="95" t="s">
        <v>9</v>
      </c>
      <c r="L5" s="96"/>
      <c r="M5" s="97"/>
      <c r="N5" s="95" t="s">
        <v>4</v>
      </c>
      <c r="O5" s="96"/>
      <c r="P5" s="96"/>
    </row>
    <row r="6" spans="2:24" hidden="1" outlineLevel="1" x14ac:dyDescent="0.35">
      <c r="B6" s="2"/>
      <c r="C6" s="3"/>
      <c r="D6" s="3"/>
      <c r="E6" s="23" t="s">
        <v>17</v>
      </c>
      <c r="F6" s="3" t="s">
        <v>1</v>
      </c>
      <c r="G6" s="3" t="s">
        <v>16</v>
      </c>
      <c r="H6" s="23" t="s">
        <v>17</v>
      </c>
      <c r="I6" s="3" t="s">
        <v>1</v>
      </c>
      <c r="J6" s="3" t="s">
        <v>16</v>
      </c>
      <c r="K6" s="23" t="s">
        <v>17</v>
      </c>
      <c r="L6" s="3" t="s">
        <v>1</v>
      </c>
      <c r="M6" s="3" t="s">
        <v>16</v>
      </c>
      <c r="N6" s="23" t="s">
        <v>17</v>
      </c>
      <c r="O6" s="3" t="s">
        <v>1</v>
      </c>
      <c r="P6" s="3" t="s">
        <v>16</v>
      </c>
    </row>
    <row r="7" spans="2:24" hidden="1" outlineLevel="1" x14ac:dyDescent="0.35">
      <c r="B7" s="9" t="s">
        <v>10</v>
      </c>
      <c r="C7" s="17"/>
      <c r="D7" s="17"/>
      <c r="E7" s="22">
        <f>SUM(E8:E11)</f>
        <v>51</v>
      </c>
      <c r="F7" s="17"/>
      <c r="G7" s="18"/>
      <c r="H7" s="22">
        <f>SUM(H8:H11)</f>
        <v>122</v>
      </c>
      <c r="I7" s="17"/>
      <c r="J7" s="18"/>
      <c r="K7" s="22">
        <f>SUM(K8:K11)</f>
        <v>166</v>
      </c>
      <c r="L7" s="17"/>
      <c r="M7" s="17"/>
      <c r="N7" s="22">
        <f>SUM(N8:N11)</f>
        <v>326</v>
      </c>
      <c r="O7" s="13"/>
      <c r="P7" s="14"/>
    </row>
    <row r="8" spans="2:24" hidden="1" outlineLevel="1" x14ac:dyDescent="0.35">
      <c r="B8" t="s">
        <v>0</v>
      </c>
      <c r="C8" s="21">
        <v>32</v>
      </c>
      <c r="D8" s="6">
        <f>C8/SUM(C8:C11)</f>
        <v>0.40251572327044016</v>
      </c>
      <c r="E8" s="26">
        <v>11</v>
      </c>
      <c r="F8" s="8">
        <f>1/E7*E8</f>
        <v>0.21568627450980393</v>
      </c>
      <c r="G8" s="28">
        <f>E8/$C8/$C$2</f>
        <v>0.14322916666666669</v>
      </c>
      <c r="H8" s="26">
        <v>32</v>
      </c>
      <c r="I8" s="8">
        <f>1/H7*H8</f>
        <v>0.26229508196721313</v>
      </c>
      <c r="J8" s="25">
        <f>H8/$C8/$C$2</f>
        <v>0.41666666666666669</v>
      </c>
      <c r="K8" s="26">
        <v>45</v>
      </c>
      <c r="L8" s="8">
        <f>1/K7*K8</f>
        <v>0.27108433734939763</v>
      </c>
      <c r="M8" s="25">
        <f>K8/$C8/$C$2</f>
        <v>0.5859375</v>
      </c>
      <c r="N8" s="26">
        <v>80</v>
      </c>
      <c r="O8" s="8">
        <f>1/N7*N8</f>
        <v>0.24539877300613497</v>
      </c>
      <c r="P8" s="25">
        <f>N8/$C8/$C$2</f>
        <v>1.0416666666666667</v>
      </c>
      <c r="U8" s="1" t="s">
        <v>6</v>
      </c>
    </row>
    <row r="9" spans="2:24" ht="15" hidden="1" outlineLevel="1" thickBot="1" x14ac:dyDescent="0.4">
      <c r="B9" t="s">
        <v>3</v>
      </c>
      <c r="C9" s="21">
        <v>16.7</v>
      </c>
      <c r="D9" s="6">
        <f>C9/SUM(C8:C11)</f>
        <v>0.21006289308176096</v>
      </c>
      <c r="E9" s="26">
        <v>12</v>
      </c>
      <c r="F9" s="8">
        <f>1/E7*E9</f>
        <v>0.23529411764705882</v>
      </c>
      <c r="G9" s="25">
        <f>E9/$C9/$C$2</f>
        <v>0.29940119760479045</v>
      </c>
      <c r="H9" s="26">
        <v>24</v>
      </c>
      <c r="I9" s="8">
        <f>1/H7*H9</f>
        <v>0.19672131147540983</v>
      </c>
      <c r="J9" s="25">
        <f>H9/$C9/$C$2</f>
        <v>0.5988023952095809</v>
      </c>
      <c r="K9" s="26">
        <v>39</v>
      </c>
      <c r="L9" s="8">
        <f>1/K7*K9</f>
        <v>0.23493975903614459</v>
      </c>
      <c r="M9" s="25">
        <f>K9/$C9/$C$2</f>
        <v>0.97305389221556893</v>
      </c>
      <c r="N9" s="26">
        <v>70</v>
      </c>
      <c r="O9" s="8">
        <f>1/N7*N9</f>
        <v>0.21472392638036811</v>
      </c>
      <c r="P9" s="25">
        <f>N9/$C9/$C$2</f>
        <v>1.7465069860279441</v>
      </c>
    </row>
    <row r="10" spans="2:24" hidden="1" outlineLevel="1" x14ac:dyDescent="0.35">
      <c r="B10" t="s">
        <v>11</v>
      </c>
      <c r="C10" s="21">
        <v>15.4</v>
      </c>
      <c r="D10" s="6">
        <f>C10/SUM(C8:C11)</f>
        <v>0.19371069182389933</v>
      </c>
      <c r="E10" s="26">
        <v>13</v>
      </c>
      <c r="F10" s="8">
        <f>1/E7*E10</f>
        <v>0.25490196078431371</v>
      </c>
      <c r="G10" s="25">
        <f>E10/$C10/$C$2</f>
        <v>0.35173160173160173</v>
      </c>
      <c r="H10" s="26">
        <v>30</v>
      </c>
      <c r="I10" s="8">
        <f>1/H7*H10</f>
        <v>0.24590163934426232</v>
      </c>
      <c r="J10" s="25">
        <f>H10/$C10/$C$2</f>
        <v>0.81168831168831168</v>
      </c>
      <c r="K10" s="26">
        <v>43</v>
      </c>
      <c r="L10" s="8">
        <f>1/K7*K10</f>
        <v>0.25903614457831325</v>
      </c>
      <c r="M10" s="25">
        <f>K10/$C10/$C$2</f>
        <v>1.1634199134199135</v>
      </c>
      <c r="N10" s="26">
        <v>81</v>
      </c>
      <c r="O10" s="8">
        <f>1/N7*N10</f>
        <v>0.24846625766871167</v>
      </c>
      <c r="P10" s="25">
        <f>N10/$C10/$C$2</f>
        <v>2.1915584415584415</v>
      </c>
      <c r="U10" s="46">
        <f>H14</f>
        <v>26</v>
      </c>
      <c r="V10" s="40"/>
      <c r="W10" s="35" t="s">
        <v>3</v>
      </c>
      <c r="X10" s="37"/>
    </row>
    <row r="11" spans="2:24" hidden="1" outlineLevel="1" x14ac:dyDescent="0.35">
      <c r="B11" t="s">
        <v>5</v>
      </c>
      <c r="C11" s="21">
        <v>15.4</v>
      </c>
      <c r="D11" s="6">
        <f>C11/SUM(C8:C11)</f>
        <v>0.19371069182389933</v>
      </c>
      <c r="E11" s="26">
        <v>15</v>
      </c>
      <c r="F11" s="8">
        <f>1/E7*E11</f>
        <v>0.29411764705882354</v>
      </c>
      <c r="G11" s="25">
        <f>E11/$C11/$C$2</f>
        <v>0.40584415584415584</v>
      </c>
      <c r="H11" s="26">
        <v>36</v>
      </c>
      <c r="I11" s="8">
        <f>1/H7*H11</f>
        <v>0.29508196721311475</v>
      </c>
      <c r="J11" s="25">
        <f>H11/$C11/$C$2</f>
        <v>0.97402597402597402</v>
      </c>
      <c r="K11" s="26">
        <v>39</v>
      </c>
      <c r="L11" s="8">
        <f>1/K7*K11</f>
        <v>0.23493975903614459</v>
      </c>
      <c r="M11" s="25">
        <f>K11/$C11/$C$2</f>
        <v>1.0551948051948052</v>
      </c>
      <c r="N11" s="26">
        <v>95</v>
      </c>
      <c r="O11" s="8">
        <f>1/N7*N11</f>
        <v>0.29141104294478526</v>
      </c>
      <c r="P11" s="25">
        <f>N11/$C11/$C$2</f>
        <v>2.5703463203463204</v>
      </c>
      <c r="U11" s="33" t="s">
        <v>12</v>
      </c>
      <c r="V11" t="s">
        <v>2</v>
      </c>
      <c r="W11" s="36"/>
      <c r="X11" s="44">
        <f>H9</f>
        <v>24</v>
      </c>
    </row>
    <row r="12" spans="2:24" ht="15" hidden="1" outlineLevel="1" thickBot="1" x14ac:dyDescent="0.4">
      <c r="C12" s="19"/>
      <c r="D12" s="19"/>
      <c r="E12" s="7"/>
      <c r="F12" s="5"/>
      <c r="G12" s="4"/>
      <c r="H12" s="7"/>
      <c r="I12" s="5"/>
      <c r="J12" s="4"/>
      <c r="K12" s="7"/>
      <c r="L12" s="5"/>
      <c r="M12" s="5"/>
      <c r="N12" s="7"/>
      <c r="O12" s="5"/>
      <c r="P12" s="4"/>
      <c r="U12" s="34"/>
      <c r="V12" s="45">
        <f>H16</f>
        <v>27</v>
      </c>
      <c r="W12" s="50" t="str">
        <f>IF(X11&gt;V12,"6","5")</f>
        <v>5</v>
      </c>
      <c r="X12" s="39"/>
    </row>
    <row r="13" spans="2:24" ht="15" hidden="1" outlineLevel="1" thickBot="1" x14ac:dyDescent="0.4">
      <c r="B13" s="9" t="s">
        <v>14</v>
      </c>
      <c r="C13" s="20"/>
      <c r="D13" s="20"/>
      <c r="E13" s="22">
        <f>SUM(E14:E16)</f>
        <v>61</v>
      </c>
      <c r="F13" s="15"/>
      <c r="G13" s="16"/>
      <c r="H13" s="22">
        <f>SUM(H14:H16)</f>
        <v>107</v>
      </c>
      <c r="I13" s="17"/>
      <c r="J13" s="18"/>
      <c r="K13" s="22">
        <f>SUM(K14:K16)</f>
        <v>156</v>
      </c>
      <c r="L13" s="17"/>
      <c r="M13" s="17"/>
      <c r="N13" s="22">
        <f>SUM(N14:N16)</f>
        <v>291</v>
      </c>
      <c r="O13" s="13"/>
      <c r="P13" s="14"/>
      <c r="U13" s="41"/>
      <c r="V13" s="47"/>
      <c r="W13" s="48"/>
      <c r="X13" s="49">
        <f>H15</f>
        <v>54</v>
      </c>
    </row>
    <row r="14" spans="2:24" hidden="1" outlineLevel="1" x14ac:dyDescent="0.35">
      <c r="B14" t="s">
        <v>12</v>
      </c>
      <c r="C14" s="21">
        <v>6.4</v>
      </c>
      <c r="D14" s="6">
        <f>C14/SUM(C14:C16)</f>
        <v>0.21843003412969286</v>
      </c>
      <c r="E14" s="26">
        <v>13</v>
      </c>
      <c r="F14" s="8">
        <f>1/E13*E14</f>
        <v>0.21311475409836067</v>
      </c>
      <c r="G14" s="25">
        <f>E14/$C14/$C$2</f>
        <v>0.84635416666666674</v>
      </c>
      <c r="H14" s="26">
        <v>26</v>
      </c>
      <c r="I14" s="8">
        <f>1/H13*H14</f>
        <v>0.24299065420560745</v>
      </c>
      <c r="J14" s="25">
        <f>H14/$C14/$C$2</f>
        <v>1.6927083333333335</v>
      </c>
      <c r="K14" s="26">
        <v>37</v>
      </c>
      <c r="L14" s="8">
        <f>1/K13*K14</f>
        <v>0.23717948717948717</v>
      </c>
      <c r="M14" s="25">
        <f>K14/$C14/$C$2</f>
        <v>2.408854166666667</v>
      </c>
      <c r="N14" s="26">
        <v>70</v>
      </c>
      <c r="O14" s="8">
        <f>1/N13*N14</f>
        <v>0.24054982817869416</v>
      </c>
      <c r="P14" s="25">
        <f>N14/$C14/$C$2</f>
        <v>4.557291666666667</v>
      </c>
      <c r="U14" s="32"/>
      <c r="V14" s="32"/>
      <c r="X14" s="38"/>
    </row>
    <row r="15" spans="2:24" hidden="1" outlineLevel="1" x14ac:dyDescent="0.35">
      <c r="B15" t="s">
        <v>13</v>
      </c>
      <c r="C15" s="21">
        <f>48.5-32</f>
        <v>16.5</v>
      </c>
      <c r="D15" s="6">
        <f>C15/SUM(C14:C16)</f>
        <v>0.56313993174061439</v>
      </c>
      <c r="E15" s="26">
        <v>33</v>
      </c>
      <c r="F15" s="8">
        <f>1/E13*E15</f>
        <v>0.54098360655737709</v>
      </c>
      <c r="G15" s="25">
        <f>E15/$C15/$C$2</f>
        <v>0.83333333333333337</v>
      </c>
      <c r="H15" s="26">
        <v>54</v>
      </c>
      <c r="I15" s="8">
        <f>1/H13*H15</f>
        <v>0.50467289719626163</v>
      </c>
      <c r="J15" s="25">
        <f>H15/$C15/$C$2</f>
        <v>1.3636363636363638</v>
      </c>
      <c r="K15" s="26">
        <v>77</v>
      </c>
      <c r="L15" s="8">
        <f>1/K13*K15</f>
        <v>0.49358974358974356</v>
      </c>
      <c r="M15" s="25">
        <f>K15/$C15/$C$2</f>
        <v>1.9444444444444446</v>
      </c>
      <c r="N15" s="26">
        <v>145</v>
      </c>
      <c r="O15" s="8">
        <f>1/N13*N15</f>
        <v>0.49828178694158076</v>
      </c>
      <c r="P15" s="25">
        <f>N15/$C15/$C$2</f>
        <v>3.6616161616161613</v>
      </c>
      <c r="U15" s="33" t="s">
        <v>11</v>
      </c>
      <c r="V15" s="33" t="s">
        <v>5</v>
      </c>
      <c r="W15" t="s">
        <v>0</v>
      </c>
      <c r="X15" s="38"/>
    </row>
    <row r="16" spans="2:24" hidden="1" outlineLevel="1" x14ac:dyDescent="0.35">
      <c r="B16" t="s">
        <v>2</v>
      </c>
      <c r="C16" s="21">
        <v>6.4</v>
      </c>
      <c r="D16" s="6">
        <f>C16/SUM(C14:C16)</f>
        <v>0.21843003412969286</v>
      </c>
      <c r="E16" s="26">
        <v>15</v>
      </c>
      <c r="F16" s="8">
        <f>1/E13*E16</f>
        <v>0.24590163934426232</v>
      </c>
      <c r="G16" s="25">
        <f>E16/$C16/$C$2</f>
        <v>0.9765625</v>
      </c>
      <c r="H16" s="26">
        <v>27</v>
      </c>
      <c r="I16" s="8">
        <f>1/H13*H16</f>
        <v>0.25233644859813081</v>
      </c>
      <c r="J16" s="25">
        <f>H16/$C16/$C$2</f>
        <v>1.7578125</v>
      </c>
      <c r="K16" s="26">
        <v>42</v>
      </c>
      <c r="L16" s="8">
        <f>1/K13*K16</f>
        <v>0.26923076923076922</v>
      </c>
      <c r="M16" s="25">
        <f>K16/$C16/$C$2</f>
        <v>2.734375</v>
      </c>
      <c r="N16" s="26">
        <v>76</v>
      </c>
      <c r="O16" s="8">
        <f>1/N13*N16</f>
        <v>0.2611683848797251</v>
      </c>
      <c r="P16" s="25">
        <f>N16/$C16/$C$2</f>
        <v>4.947916666666667</v>
      </c>
      <c r="U16" s="33"/>
      <c r="V16" s="33"/>
      <c r="X16" s="38"/>
    </row>
    <row r="17" spans="2:24" ht="15" hidden="1" outlineLevel="1" thickBot="1" x14ac:dyDescent="0.4">
      <c r="C17" s="5"/>
      <c r="D17" s="5"/>
      <c r="E17" s="7"/>
      <c r="F17" s="5"/>
      <c r="G17" s="4"/>
      <c r="H17" s="7"/>
      <c r="I17" s="5"/>
      <c r="J17" s="4"/>
      <c r="K17" s="7"/>
      <c r="L17" s="5"/>
      <c r="M17" s="5"/>
      <c r="N17" s="7"/>
      <c r="O17" s="5"/>
      <c r="P17" s="4"/>
      <c r="U17" s="43">
        <f>H10</f>
        <v>30</v>
      </c>
      <c r="V17" s="43">
        <f>H11</f>
        <v>36</v>
      </c>
      <c r="W17" s="42">
        <f>H8</f>
        <v>32</v>
      </c>
      <c r="X17" s="39"/>
    </row>
    <row r="18" spans="2:24" hidden="1" outlineLevel="1" x14ac:dyDescent="0.35">
      <c r="B18" s="9" t="s">
        <v>26</v>
      </c>
      <c r="C18" s="17"/>
      <c r="D18" s="17"/>
      <c r="E18" s="10">
        <f>E7/E13</f>
        <v>0.83606557377049184</v>
      </c>
      <c r="F18" s="11"/>
      <c r="G18" s="12"/>
      <c r="H18" s="10">
        <f>H7/H13</f>
        <v>1.1401869158878504</v>
      </c>
      <c r="I18" s="11"/>
      <c r="J18" s="12"/>
      <c r="K18" s="10">
        <f>K7/K13</f>
        <v>1.0641025641025641</v>
      </c>
      <c r="L18" s="11"/>
      <c r="M18" s="11"/>
      <c r="N18" s="10">
        <f>N7/N13</f>
        <v>1.1202749140893471</v>
      </c>
      <c r="O18" s="13"/>
      <c r="P18" s="14"/>
    </row>
    <row r="19" spans="2:24" hidden="1" outlineLevel="1" x14ac:dyDescent="0.35">
      <c r="F19" s="5"/>
      <c r="G19" s="4"/>
      <c r="I19" s="5"/>
      <c r="J19" s="4"/>
      <c r="L19" s="5"/>
      <c r="M19" s="5"/>
      <c r="O19" s="5"/>
      <c r="P19" s="4"/>
    </row>
    <row r="20" spans="2:24" hidden="1" outlineLevel="1" x14ac:dyDescent="0.35">
      <c r="B20" s="1" t="s">
        <v>39</v>
      </c>
      <c r="F20" s="5"/>
      <c r="G20" s="4"/>
      <c r="I20" s="5"/>
      <c r="J20" s="4"/>
      <c r="L20" s="5"/>
      <c r="M20" s="5"/>
      <c r="O20" s="5"/>
      <c r="P20" s="4"/>
    </row>
    <row r="21" spans="2:24" hidden="1" outlineLevel="1" x14ac:dyDescent="0.35">
      <c r="B21" s="29" t="s">
        <v>135</v>
      </c>
      <c r="F21" s="5"/>
      <c r="G21" s="4"/>
      <c r="I21" s="5"/>
      <c r="J21" s="4"/>
      <c r="L21" s="5"/>
      <c r="M21" s="5"/>
      <c r="O21" s="5"/>
      <c r="P21" s="4"/>
    </row>
    <row r="22" spans="2:24" hidden="1" outlineLevel="1" x14ac:dyDescent="0.35">
      <c r="B22" s="29" t="s">
        <v>136</v>
      </c>
      <c r="F22" s="5"/>
      <c r="G22" s="4"/>
      <c r="I22" s="5"/>
      <c r="J22" s="4"/>
      <c r="L22" s="5"/>
      <c r="M22" s="5"/>
      <c r="O22" s="5"/>
      <c r="P22" s="4"/>
    </row>
    <row r="23" spans="2:24" hidden="1" outlineLevel="1" x14ac:dyDescent="0.35">
      <c r="B23" s="29" t="s">
        <v>137</v>
      </c>
      <c r="F23" s="5"/>
      <c r="G23" s="4"/>
      <c r="I23" s="5"/>
      <c r="J23" s="4"/>
      <c r="L23" s="5"/>
      <c r="M23" s="5"/>
      <c r="O23" s="5"/>
      <c r="P23" s="4"/>
    </row>
    <row r="24" spans="2:24" collapsed="1" x14ac:dyDescent="0.35">
      <c r="B24" s="29"/>
      <c r="F24" s="5"/>
      <c r="G24" s="4"/>
      <c r="I24" s="5"/>
      <c r="J24" s="4"/>
      <c r="L24" s="5"/>
      <c r="M24" s="5"/>
      <c r="O24" s="5"/>
      <c r="P24" s="4"/>
    </row>
    <row r="25" spans="2:24" x14ac:dyDescent="0.35">
      <c r="B25" s="1" t="s">
        <v>63</v>
      </c>
      <c r="C25" s="1"/>
      <c r="D25" s="1"/>
      <c r="F25" s="5"/>
      <c r="G25" s="4"/>
      <c r="I25" s="5"/>
      <c r="J25" s="4"/>
      <c r="L25" s="5"/>
      <c r="M25" s="5"/>
      <c r="O25" s="5"/>
      <c r="P25" s="4"/>
    </row>
    <row r="26" spans="2:24" outlineLevel="1" x14ac:dyDescent="0.35">
      <c r="B26" s="2" t="s">
        <v>7</v>
      </c>
      <c r="C26" s="3" t="s">
        <v>15</v>
      </c>
      <c r="D26" s="3"/>
      <c r="E26" s="95" t="s">
        <v>8</v>
      </c>
      <c r="F26" s="96"/>
      <c r="G26" s="97"/>
      <c r="H26" s="95" t="s">
        <v>6</v>
      </c>
      <c r="I26" s="96"/>
      <c r="J26" s="97"/>
      <c r="K26" s="95" t="s">
        <v>9</v>
      </c>
      <c r="L26" s="96"/>
      <c r="M26" s="97"/>
      <c r="N26" s="95" t="s">
        <v>4</v>
      </c>
      <c r="O26" s="96"/>
      <c r="P26" s="96"/>
    </row>
    <row r="27" spans="2:24" outlineLevel="1" x14ac:dyDescent="0.35">
      <c r="B27" s="2"/>
      <c r="C27" s="3"/>
      <c r="D27" s="3"/>
      <c r="E27" s="23" t="s">
        <v>17</v>
      </c>
      <c r="F27" s="3" t="s">
        <v>1</v>
      </c>
      <c r="G27" s="3" t="s">
        <v>16</v>
      </c>
      <c r="H27" s="23" t="s">
        <v>17</v>
      </c>
      <c r="I27" s="3" t="s">
        <v>1</v>
      </c>
      <c r="J27" s="3" t="s">
        <v>16</v>
      </c>
      <c r="K27" s="23" t="s">
        <v>17</v>
      </c>
      <c r="L27" s="3" t="s">
        <v>1</v>
      </c>
      <c r="M27" s="3" t="s">
        <v>16</v>
      </c>
      <c r="N27" s="23" t="s">
        <v>17</v>
      </c>
      <c r="O27" s="3" t="s">
        <v>1</v>
      </c>
      <c r="P27" s="3" t="s">
        <v>16</v>
      </c>
    </row>
    <row r="28" spans="2:24" outlineLevel="1" x14ac:dyDescent="0.35">
      <c r="B28" s="9" t="s">
        <v>10</v>
      </c>
      <c r="C28" s="17"/>
      <c r="D28" s="17"/>
      <c r="E28" s="22">
        <f>SUM(E29:E32)</f>
        <v>51</v>
      </c>
      <c r="F28" s="93">
        <f>1/350*E28</f>
        <v>0.14571428571428571</v>
      </c>
      <c r="G28" s="18"/>
      <c r="H28" s="22">
        <f>SUM(H29:H32)</f>
        <v>114</v>
      </c>
      <c r="I28" s="93">
        <f>1/350*H28</f>
        <v>0.32571428571428573</v>
      </c>
      <c r="J28" s="18"/>
      <c r="K28" s="22">
        <f>SUM(K29:K32)</f>
        <v>180</v>
      </c>
      <c r="L28" s="93">
        <f>1/350*K28</f>
        <v>0.51428571428571423</v>
      </c>
      <c r="M28" s="17"/>
      <c r="N28" s="22">
        <f>SUM(N29:N32)</f>
        <v>330</v>
      </c>
      <c r="O28" s="93">
        <f>1/350*N28</f>
        <v>0.94285714285714284</v>
      </c>
      <c r="P28" s="14"/>
    </row>
    <row r="29" spans="2:24" outlineLevel="1" x14ac:dyDescent="0.35">
      <c r="B29" t="s">
        <v>0</v>
      </c>
      <c r="C29" s="21">
        <v>32</v>
      </c>
      <c r="D29" s="6">
        <f>C29/SUM(C29:C32)</f>
        <v>0.40251572327044016</v>
      </c>
      <c r="E29" s="26">
        <v>12</v>
      </c>
      <c r="F29" s="8">
        <f>1/E28*E29</f>
        <v>0.23529411764705882</v>
      </c>
      <c r="G29" s="28">
        <f>E29/$C29/$C$2</f>
        <v>0.15625</v>
      </c>
      <c r="H29" s="26">
        <v>29</v>
      </c>
      <c r="I29" s="8">
        <f>1/H28*H29</f>
        <v>0.25438596491228072</v>
      </c>
      <c r="J29" s="25">
        <f>H29/$C29/$C$2</f>
        <v>0.37760416666666669</v>
      </c>
      <c r="K29" s="26">
        <v>46</v>
      </c>
      <c r="L29" s="8">
        <f>1/K28*K29</f>
        <v>0.25555555555555559</v>
      </c>
      <c r="M29" s="25">
        <f>K29/$C29/$C$2</f>
        <v>0.59895833333333337</v>
      </c>
      <c r="N29" s="26">
        <v>83</v>
      </c>
      <c r="O29" s="8">
        <f>1/N28*N29</f>
        <v>0.25151515151515152</v>
      </c>
      <c r="P29" s="25">
        <f>N29/$C29/$C$2</f>
        <v>1.0807291666666667</v>
      </c>
      <c r="U29" s="1" t="s">
        <v>6</v>
      </c>
    </row>
    <row r="30" spans="2:24" ht="15" outlineLevel="1" thickBot="1" x14ac:dyDescent="0.4">
      <c r="B30" t="s">
        <v>3</v>
      </c>
      <c r="C30" s="21">
        <v>16.7</v>
      </c>
      <c r="D30" s="6">
        <f>C30/SUM(C29:C32)</f>
        <v>0.21006289308176096</v>
      </c>
      <c r="E30" s="26">
        <v>11</v>
      </c>
      <c r="F30" s="8">
        <f>1/E28*E30</f>
        <v>0.21568627450980393</v>
      </c>
      <c r="G30" s="25">
        <f>E30/$C30/$C$2</f>
        <v>0.2744510978043912</v>
      </c>
      <c r="H30" s="26">
        <v>24</v>
      </c>
      <c r="I30" s="8">
        <f>1/H28*H30</f>
        <v>0.21052631578947367</v>
      </c>
      <c r="J30" s="25">
        <f>H30/$C30/$C$2</f>
        <v>0.5988023952095809</v>
      </c>
      <c r="K30" s="26">
        <v>39</v>
      </c>
      <c r="L30" s="8">
        <f>1/K28*K30</f>
        <v>0.21666666666666667</v>
      </c>
      <c r="M30" s="25">
        <f>K30/$C30/$C$2</f>
        <v>0.97305389221556893</v>
      </c>
      <c r="N30" s="26">
        <v>72</v>
      </c>
      <c r="O30" s="8">
        <f>1/N28*N30</f>
        <v>0.21818181818181817</v>
      </c>
      <c r="P30" s="25">
        <f>N30/$C30/$C$2</f>
        <v>1.7964071856287427</v>
      </c>
    </row>
    <row r="31" spans="2:24" outlineLevel="1" x14ac:dyDescent="0.35">
      <c r="B31" t="s">
        <v>11</v>
      </c>
      <c r="C31" s="21">
        <v>15.4</v>
      </c>
      <c r="D31" s="6">
        <f>C31/SUM(C29:C32)</f>
        <v>0.19371069182389933</v>
      </c>
      <c r="E31" s="26">
        <v>14</v>
      </c>
      <c r="F31" s="8">
        <f>1/E28*E31</f>
        <v>0.27450980392156865</v>
      </c>
      <c r="G31" s="25">
        <f>E31/$C31/$C$2</f>
        <v>0.37878787878787878</v>
      </c>
      <c r="H31" s="26">
        <v>28</v>
      </c>
      <c r="I31" s="8">
        <f>1/H28*H31</f>
        <v>0.24561403508771928</v>
      </c>
      <c r="J31" s="25">
        <f>H31/$C31/$C$2</f>
        <v>0.75757575757575757</v>
      </c>
      <c r="K31" s="26">
        <v>44</v>
      </c>
      <c r="L31" s="8">
        <f>1/K28*K31</f>
        <v>0.24444444444444446</v>
      </c>
      <c r="M31" s="25">
        <f>K31/$C31/$C$2</f>
        <v>1.1904761904761905</v>
      </c>
      <c r="N31" s="26">
        <v>82</v>
      </c>
      <c r="O31" s="8">
        <f>1/N28*N31</f>
        <v>0.24848484848484848</v>
      </c>
      <c r="P31" s="25">
        <f>N31/$C31/$C$2</f>
        <v>2.2186147186147189</v>
      </c>
      <c r="U31" s="46">
        <f>H35</f>
        <v>26</v>
      </c>
      <c r="V31" s="40"/>
      <c r="W31" s="35" t="s">
        <v>3</v>
      </c>
      <c r="X31" s="37"/>
    </row>
    <row r="32" spans="2:24" outlineLevel="1" x14ac:dyDescent="0.35">
      <c r="B32" t="s">
        <v>5</v>
      </c>
      <c r="C32" s="21">
        <v>15.4</v>
      </c>
      <c r="D32" s="6">
        <f>C32/SUM(C29:C32)</f>
        <v>0.19371069182389933</v>
      </c>
      <c r="E32" s="26">
        <v>14</v>
      </c>
      <c r="F32" s="8">
        <f>1/E28*E32</f>
        <v>0.27450980392156865</v>
      </c>
      <c r="G32" s="25">
        <f>E32/$C32/$C$2</f>
        <v>0.37878787878787878</v>
      </c>
      <c r="H32" s="26">
        <v>33</v>
      </c>
      <c r="I32" s="8">
        <f>1/H28*H32</f>
        <v>0.28947368421052633</v>
      </c>
      <c r="J32" s="25">
        <f>H32/$C32/$C$2</f>
        <v>0.8928571428571429</v>
      </c>
      <c r="K32" s="26">
        <v>51</v>
      </c>
      <c r="L32" s="8">
        <f>1/K28*K32</f>
        <v>0.28333333333333333</v>
      </c>
      <c r="M32" s="25">
        <f>K32/$C32/$C$2</f>
        <v>1.3798701298701299</v>
      </c>
      <c r="N32" s="26">
        <v>93</v>
      </c>
      <c r="O32" s="8">
        <f>1/N28*N32</f>
        <v>0.2818181818181818</v>
      </c>
      <c r="P32" s="25">
        <f>N32/$C32/$C$2</f>
        <v>2.5162337662337659</v>
      </c>
      <c r="U32" s="33" t="s">
        <v>12</v>
      </c>
      <c r="V32" t="s">
        <v>2</v>
      </c>
      <c r="W32" s="36"/>
      <c r="X32" s="44">
        <f>H30</f>
        <v>24</v>
      </c>
    </row>
    <row r="33" spans="2:24" ht="15" outlineLevel="1" thickBot="1" x14ac:dyDescent="0.4">
      <c r="C33" s="19"/>
      <c r="D33" s="19"/>
      <c r="E33" s="7"/>
      <c r="F33" s="5"/>
      <c r="G33" s="4"/>
      <c r="H33" s="7"/>
      <c r="I33" s="5"/>
      <c r="J33" s="4"/>
      <c r="K33" s="7"/>
      <c r="L33" s="5"/>
      <c r="M33" s="5"/>
      <c r="N33" s="7"/>
      <c r="O33" s="5"/>
      <c r="P33" s="4"/>
      <c r="U33" s="34"/>
      <c r="V33" s="45">
        <f>H37</f>
        <v>30</v>
      </c>
      <c r="W33" s="50" t="str">
        <f>IF(X32&gt;V33,"6","5")</f>
        <v>5</v>
      </c>
      <c r="X33" s="39"/>
    </row>
    <row r="34" spans="2:24" ht="15" outlineLevel="1" thickBot="1" x14ac:dyDescent="0.4">
      <c r="B34" s="9" t="s">
        <v>14</v>
      </c>
      <c r="C34" s="20"/>
      <c r="D34" s="20"/>
      <c r="E34" s="22">
        <f>SUM(E35:E37)</f>
        <v>58</v>
      </c>
      <c r="F34" s="93">
        <f>1/350*E34</f>
        <v>0.1657142857142857</v>
      </c>
      <c r="G34" s="16"/>
      <c r="H34" s="22">
        <f>SUM(H35:H37)</f>
        <v>110</v>
      </c>
      <c r="I34" s="93">
        <f>1/350*H34</f>
        <v>0.31428571428571428</v>
      </c>
      <c r="J34" s="18"/>
      <c r="K34" s="22">
        <f>SUM(K35:K37)</f>
        <v>167</v>
      </c>
      <c r="L34" s="93">
        <f>1/350*K34</f>
        <v>0.47714285714285715</v>
      </c>
      <c r="M34" s="17"/>
      <c r="N34" s="22">
        <f>SUM(N35:N37)</f>
        <v>317</v>
      </c>
      <c r="O34" s="93">
        <f>1/350*N34</f>
        <v>0.90571428571428569</v>
      </c>
      <c r="P34" s="14"/>
      <c r="U34" s="41"/>
      <c r="V34" s="47"/>
      <c r="W34" s="48"/>
      <c r="X34" s="49">
        <f>H36</f>
        <v>54</v>
      </c>
    </row>
    <row r="35" spans="2:24" outlineLevel="1" x14ac:dyDescent="0.35">
      <c r="B35" t="s">
        <v>12</v>
      </c>
      <c r="C35" s="21">
        <v>6.4</v>
      </c>
      <c r="D35" s="6">
        <f>C35/SUM(C35:C37)</f>
        <v>0.21843003412969286</v>
      </c>
      <c r="E35" s="26">
        <v>13</v>
      </c>
      <c r="F35" s="8">
        <f>1/E34*E35</f>
        <v>0.22413793103448276</v>
      </c>
      <c r="G35" s="25">
        <f>E35/$C35/$C$2</f>
        <v>0.84635416666666674</v>
      </c>
      <c r="H35" s="26">
        <v>26</v>
      </c>
      <c r="I35" s="8">
        <f>1/H34*H35</f>
        <v>0.23636363636363636</v>
      </c>
      <c r="J35" s="25">
        <f>H35/$C35/$C$2</f>
        <v>1.6927083333333335</v>
      </c>
      <c r="K35" s="26">
        <v>40</v>
      </c>
      <c r="L35" s="8">
        <f>1/K34*K35</f>
        <v>0.23952095808383234</v>
      </c>
      <c r="M35" s="25">
        <f>K35/$C35/$C$2</f>
        <v>2.604166666666667</v>
      </c>
      <c r="N35" s="26">
        <v>72</v>
      </c>
      <c r="O35" s="8">
        <f>1/N34*N35</f>
        <v>0.22712933753943218</v>
      </c>
      <c r="P35" s="25">
        <f>N35/$C35/$C$2</f>
        <v>4.6875</v>
      </c>
      <c r="U35" s="32"/>
      <c r="V35" s="32"/>
      <c r="X35" s="38"/>
    </row>
    <row r="36" spans="2:24" outlineLevel="1" x14ac:dyDescent="0.35">
      <c r="B36" t="s">
        <v>13</v>
      </c>
      <c r="C36" s="21">
        <f>48.5-32</f>
        <v>16.5</v>
      </c>
      <c r="D36" s="6">
        <f>C36/SUM(C35:C37)</f>
        <v>0.56313993174061439</v>
      </c>
      <c r="E36" s="26">
        <v>31</v>
      </c>
      <c r="F36" s="8">
        <f>1/E34*E36</f>
        <v>0.53448275862068961</v>
      </c>
      <c r="G36" s="25">
        <f>E36/$C36/$C$2</f>
        <v>0.78282828282828287</v>
      </c>
      <c r="H36" s="26">
        <v>54</v>
      </c>
      <c r="I36" s="8">
        <f>1/H34*H36</f>
        <v>0.49090909090909091</v>
      </c>
      <c r="J36" s="25">
        <f>H36/$C36/$C$2</f>
        <v>1.3636363636363638</v>
      </c>
      <c r="K36" s="26">
        <v>81</v>
      </c>
      <c r="L36" s="8">
        <f>1/K34*K36</f>
        <v>0.48502994011976053</v>
      </c>
      <c r="M36" s="25">
        <f>K36/$C36/$C$2</f>
        <v>2.0454545454545454</v>
      </c>
      <c r="N36" s="26">
        <v>162</v>
      </c>
      <c r="O36" s="8">
        <f>1/N34*N36</f>
        <v>0.51104100946372233</v>
      </c>
      <c r="P36" s="25">
        <f>N36/$C36/$C$2</f>
        <v>4.0909090909090908</v>
      </c>
      <c r="U36" s="33" t="s">
        <v>11</v>
      </c>
      <c r="V36" s="33" t="s">
        <v>5</v>
      </c>
      <c r="W36" t="s">
        <v>0</v>
      </c>
      <c r="X36" s="38"/>
    </row>
    <row r="37" spans="2:24" outlineLevel="1" x14ac:dyDescent="0.35">
      <c r="B37" t="s">
        <v>2</v>
      </c>
      <c r="C37" s="21">
        <v>6.4</v>
      </c>
      <c r="D37" s="6">
        <f>C37/SUM(C35:C37)</f>
        <v>0.21843003412969286</v>
      </c>
      <c r="E37" s="26">
        <v>14</v>
      </c>
      <c r="F37" s="8">
        <f>1/E34*E37</f>
        <v>0.24137931034482757</v>
      </c>
      <c r="G37" s="25">
        <f>E37/$C37/$C$2</f>
        <v>0.91145833333333337</v>
      </c>
      <c r="H37" s="26">
        <v>30</v>
      </c>
      <c r="I37" s="8">
        <f>1/H34*H37</f>
        <v>0.27272727272727271</v>
      </c>
      <c r="J37" s="25">
        <f>H37/$C37/$C$2</f>
        <v>1.953125</v>
      </c>
      <c r="K37" s="26">
        <v>46</v>
      </c>
      <c r="L37" s="8">
        <f>1/K34*K37</f>
        <v>0.27544910179640719</v>
      </c>
      <c r="M37" s="25">
        <f>K37/$C37/$C$2</f>
        <v>2.994791666666667</v>
      </c>
      <c r="N37" s="26">
        <v>83</v>
      </c>
      <c r="O37" s="8">
        <f>1/N34*N37</f>
        <v>0.26182965299684541</v>
      </c>
      <c r="P37" s="25">
        <f>N37/$C37/$C$2</f>
        <v>5.4036458333333339</v>
      </c>
      <c r="U37" s="33"/>
      <c r="V37" s="33"/>
      <c r="X37" s="38"/>
    </row>
    <row r="38" spans="2:24" ht="15" outlineLevel="1" thickBot="1" x14ac:dyDescent="0.4">
      <c r="C38" s="5"/>
      <c r="D38" s="5"/>
      <c r="E38" s="7"/>
      <c r="F38" s="5"/>
      <c r="G38" s="4"/>
      <c r="H38" s="7"/>
      <c r="I38" s="5"/>
      <c r="J38" s="4"/>
      <c r="K38" s="7"/>
      <c r="L38" s="5"/>
      <c r="M38" s="5"/>
      <c r="N38" s="7"/>
      <c r="O38" s="5"/>
      <c r="P38" s="4"/>
      <c r="U38" s="43">
        <f>H31</f>
        <v>28</v>
      </c>
      <c r="V38" s="43">
        <f>H32</f>
        <v>33</v>
      </c>
      <c r="W38" s="42">
        <f>H29</f>
        <v>29</v>
      </c>
      <c r="X38" s="39"/>
    </row>
    <row r="39" spans="2:24" outlineLevel="1" x14ac:dyDescent="0.35">
      <c r="B39" s="9" t="s">
        <v>26</v>
      </c>
      <c r="C39" s="17"/>
      <c r="D39" s="17"/>
      <c r="E39" s="94">
        <f>E28/E34</f>
        <v>0.87931034482758619</v>
      </c>
      <c r="F39" s="11"/>
      <c r="G39" s="12"/>
      <c r="H39" s="10">
        <f>H28/H34</f>
        <v>1.0363636363636364</v>
      </c>
      <c r="I39" s="11"/>
      <c r="J39" s="12"/>
      <c r="K39" s="10">
        <f>K28/K34</f>
        <v>1.0778443113772456</v>
      </c>
      <c r="L39" s="11"/>
      <c r="M39" s="11"/>
      <c r="N39" s="10">
        <f>N28/N34</f>
        <v>1.0410094637223974</v>
      </c>
      <c r="O39" s="13"/>
      <c r="P39" s="14"/>
    </row>
    <row r="40" spans="2:24" outlineLevel="1" x14ac:dyDescent="0.35">
      <c r="F40" s="5"/>
      <c r="G40" s="4"/>
      <c r="I40" s="5"/>
      <c r="J40" s="4"/>
      <c r="L40" s="5"/>
      <c r="M40" s="5"/>
      <c r="O40" s="5"/>
      <c r="P40" s="4"/>
    </row>
    <row r="41" spans="2:24" outlineLevel="1" x14ac:dyDescent="0.35">
      <c r="B41" s="1" t="s">
        <v>39</v>
      </c>
      <c r="F41" s="5"/>
      <c r="G41" s="4"/>
      <c r="I41" s="5"/>
      <c r="J41" s="4"/>
      <c r="L41" s="5"/>
      <c r="M41" s="5"/>
      <c r="O41" s="5"/>
      <c r="P41" s="4"/>
    </row>
    <row r="42" spans="2:24" outlineLevel="1" x14ac:dyDescent="0.35">
      <c r="B42" s="29" t="s">
        <v>135</v>
      </c>
      <c r="F42" s="5"/>
      <c r="G42" s="4"/>
      <c r="I42" s="5"/>
      <c r="J42" s="4"/>
      <c r="L42" s="5"/>
      <c r="M42" s="5"/>
      <c r="O42" s="5"/>
      <c r="P42" s="4"/>
    </row>
    <row r="43" spans="2:24" outlineLevel="1" x14ac:dyDescent="0.35">
      <c r="B43" s="29" t="s">
        <v>136</v>
      </c>
      <c r="F43" s="5"/>
      <c r="G43" s="4"/>
      <c r="I43" s="5"/>
      <c r="J43" s="4"/>
      <c r="L43" s="5"/>
      <c r="M43" s="5"/>
      <c r="O43" s="5"/>
      <c r="P43" s="4"/>
    </row>
    <row r="44" spans="2:24" outlineLevel="1" x14ac:dyDescent="0.35">
      <c r="B44" s="29" t="s">
        <v>137</v>
      </c>
      <c r="F44" s="5"/>
      <c r="G44" s="4"/>
      <c r="I44" s="5"/>
      <c r="J44" s="4"/>
      <c r="L44" s="5"/>
      <c r="M44" s="5"/>
      <c r="O44" s="5"/>
      <c r="P44" s="4"/>
    </row>
    <row r="45" spans="2:24" outlineLevel="1" x14ac:dyDescent="0.35">
      <c r="B45" s="29" t="s">
        <v>138</v>
      </c>
      <c r="F45" s="5"/>
      <c r="G45" s="4"/>
      <c r="I45" s="5"/>
      <c r="J45" s="4"/>
      <c r="L45" s="5"/>
      <c r="M45" s="5"/>
      <c r="O45" s="5"/>
      <c r="P45" s="4"/>
    </row>
    <row r="46" spans="2:24" outlineLevel="1" x14ac:dyDescent="0.35">
      <c r="B46" s="29" t="s">
        <v>144</v>
      </c>
      <c r="F46" s="5"/>
      <c r="G46" s="4"/>
      <c r="I46" s="5"/>
      <c r="J46" s="4"/>
      <c r="L46" s="5"/>
      <c r="M46" s="5"/>
      <c r="O46" s="5"/>
      <c r="P46" s="4"/>
    </row>
    <row r="47" spans="2:24" x14ac:dyDescent="0.35">
      <c r="B47" s="29"/>
      <c r="F47" s="5"/>
      <c r="G47" s="4"/>
      <c r="I47" s="5"/>
      <c r="J47" s="4"/>
      <c r="L47" s="5"/>
      <c r="M47" s="5"/>
      <c r="O47" s="5"/>
      <c r="P47" s="4"/>
    </row>
    <row r="48" spans="2:24" x14ac:dyDescent="0.35">
      <c r="B48" s="1" t="s">
        <v>139</v>
      </c>
      <c r="C48" s="1"/>
      <c r="D48" s="1"/>
      <c r="F48" s="5"/>
      <c r="G48" s="4"/>
      <c r="I48" s="5"/>
      <c r="J48" s="4"/>
      <c r="L48" s="5"/>
      <c r="M48" s="5"/>
      <c r="O48" s="5"/>
      <c r="P48" s="4"/>
    </row>
    <row r="49" spans="2:24" hidden="1" outlineLevel="1" x14ac:dyDescent="0.35">
      <c r="B49" s="2" t="s">
        <v>7</v>
      </c>
      <c r="C49" s="3" t="s">
        <v>15</v>
      </c>
      <c r="D49" s="3"/>
      <c r="E49" s="95" t="s">
        <v>8</v>
      </c>
      <c r="F49" s="96"/>
      <c r="G49" s="97"/>
      <c r="H49" s="95" t="s">
        <v>6</v>
      </c>
      <c r="I49" s="96"/>
      <c r="J49" s="97"/>
      <c r="K49" s="95" t="s">
        <v>9</v>
      </c>
      <c r="L49" s="96"/>
      <c r="M49" s="97"/>
      <c r="N49" s="95" t="s">
        <v>4</v>
      </c>
      <c r="O49" s="96"/>
      <c r="P49" s="96"/>
      <c r="Q49" s="59" t="s">
        <v>148</v>
      </c>
      <c r="R49" s="59"/>
      <c r="S49" s="59"/>
      <c r="T49" s="76"/>
    </row>
    <row r="50" spans="2:24" hidden="1" outlineLevel="1" x14ac:dyDescent="0.35">
      <c r="B50" s="2"/>
      <c r="C50" s="3"/>
      <c r="D50" s="3"/>
      <c r="E50" s="23" t="s">
        <v>17</v>
      </c>
      <c r="F50" s="3" t="s">
        <v>1</v>
      </c>
      <c r="G50" s="3" t="s">
        <v>16</v>
      </c>
      <c r="H50" s="23" t="s">
        <v>17</v>
      </c>
      <c r="I50" s="3" t="s">
        <v>1</v>
      </c>
      <c r="J50" s="3" t="s">
        <v>16</v>
      </c>
      <c r="K50" s="23" t="s">
        <v>17</v>
      </c>
      <c r="L50" s="3" t="s">
        <v>1</v>
      </c>
      <c r="M50" s="3" t="s">
        <v>16</v>
      </c>
      <c r="N50" s="23" t="s">
        <v>17</v>
      </c>
      <c r="O50" s="3" t="s">
        <v>1</v>
      </c>
      <c r="P50" s="3" t="s">
        <v>16</v>
      </c>
      <c r="Q50" s="83" t="s">
        <v>150</v>
      </c>
      <c r="R50" s="83" t="s">
        <v>149</v>
      </c>
      <c r="S50" s="83" t="s">
        <v>101</v>
      </c>
      <c r="T50" s="83" t="s">
        <v>147</v>
      </c>
    </row>
    <row r="51" spans="2:24" hidden="1" outlineLevel="1" x14ac:dyDescent="0.35">
      <c r="B51" s="9" t="s">
        <v>10</v>
      </c>
      <c r="C51" s="17"/>
      <c r="D51" s="17"/>
      <c r="E51" s="22">
        <f>SUM(E52:E55)</f>
        <v>0</v>
      </c>
      <c r="F51" s="17"/>
      <c r="G51" s="18"/>
      <c r="H51" s="22">
        <f>SUM(H52:H55)</f>
        <v>109</v>
      </c>
      <c r="I51" s="17"/>
      <c r="J51" s="18"/>
      <c r="K51" s="22">
        <f>SUM(K52:K55)</f>
        <v>51</v>
      </c>
      <c r="L51" s="17"/>
      <c r="M51" s="17"/>
      <c r="N51" s="22">
        <f>SUM(N52:N55)</f>
        <v>0</v>
      </c>
      <c r="O51" s="13"/>
      <c r="P51" s="14"/>
      <c r="S51" s="74">
        <v>2.25</v>
      </c>
    </row>
    <row r="52" spans="2:24" hidden="1" outlineLevel="1" x14ac:dyDescent="0.35">
      <c r="B52" t="s">
        <v>0</v>
      </c>
      <c r="C52" s="21">
        <v>32</v>
      </c>
      <c r="D52" s="6">
        <f>C52/SUM(C52:C55)</f>
        <v>0.40251572327044016</v>
      </c>
      <c r="E52" s="26"/>
      <c r="F52" s="8" t="e">
        <f>1/E51*E52</f>
        <v>#DIV/0!</v>
      </c>
      <c r="G52" s="28">
        <f>E52/$C52/$C$2</f>
        <v>0</v>
      </c>
      <c r="H52" s="26">
        <v>27</v>
      </c>
      <c r="I52" s="8">
        <f>1/H51*H52</f>
        <v>0.24770642201834864</v>
      </c>
      <c r="J52" s="25">
        <f>H52/$C52/$C$2</f>
        <v>0.3515625</v>
      </c>
      <c r="K52" s="26"/>
      <c r="L52" s="8">
        <f>1/K51*K52</f>
        <v>0</v>
      </c>
      <c r="M52" s="25">
        <f>K52/$C52/$C$2</f>
        <v>0</v>
      </c>
      <c r="N52" s="26"/>
      <c r="O52" s="8" t="e">
        <f>1/N51*N52</f>
        <v>#DIV/0!</v>
      </c>
      <c r="P52" s="25">
        <f>N52/$C52/$C$2</f>
        <v>0</v>
      </c>
      <c r="Q52">
        <f>H52-T52*H52</f>
        <v>18.899999999999999</v>
      </c>
      <c r="R52" s="62">
        <f>H94</f>
        <v>43.5</v>
      </c>
      <c r="S52" s="57">
        <f>Q52*S51</f>
        <v>42.524999999999999</v>
      </c>
      <c r="T52" s="85">
        <v>0.3</v>
      </c>
      <c r="U52" s="1" t="s">
        <v>6</v>
      </c>
    </row>
    <row r="53" spans="2:24" hidden="1" outlineLevel="1" x14ac:dyDescent="0.35">
      <c r="B53" t="s">
        <v>3</v>
      </c>
      <c r="C53" s="21">
        <v>16.7</v>
      </c>
      <c r="D53" s="6">
        <f>C53/SUM(C52:C55)</f>
        <v>0.21006289308176096</v>
      </c>
      <c r="E53" s="26"/>
      <c r="F53" s="8" t="e">
        <f>1/E51*E53</f>
        <v>#DIV/0!</v>
      </c>
      <c r="G53" s="25">
        <f>E53/$C53/$C$2</f>
        <v>0</v>
      </c>
      <c r="H53" s="26">
        <v>22</v>
      </c>
      <c r="I53" s="8">
        <f>1/H51*H53</f>
        <v>0.20183486238532111</v>
      </c>
      <c r="J53" s="25">
        <f>H53/$C53/$C$2</f>
        <v>0.5489021956087824</v>
      </c>
      <c r="K53" s="26"/>
      <c r="L53" s="8">
        <f>1/K51*K53</f>
        <v>0</v>
      </c>
      <c r="M53" s="25">
        <f>K53/$C53/$C$2</f>
        <v>0</v>
      </c>
      <c r="N53" s="26"/>
      <c r="O53" s="8" t="e">
        <f>1/N51*N53</f>
        <v>#DIV/0!</v>
      </c>
      <c r="P53" s="25">
        <f>N53/$C53/$C$2</f>
        <v>0</v>
      </c>
      <c r="Q53">
        <f>H53-T53*H53</f>
        <v>22</v>
      </c>
      <c r="R53" s="62">
        <f t="shared" ref="R53:R55" si="0">H95</f>
        <v>44.95</v>
      </c>
      <c r="S53" s="57">
        <f>S51*Q53</f>
        <v>49.5</v>
      </c>
      <c r="T53" s="86"/>
    </row>
    <row r="54" spans="2:24" hidden="1" outlineLevel="1" x14ac:dyDescent="0.35">
      <c r="B54" t="s">
        <v>11</v>
      </c>
      <c r="C54" s="21">
        <v>15.4</v>
      </c>
      <c r="D54" s="6">
        <f>C54/SUM(C52:C55)</f>
        <v>0.19371069182389933</v>
      </c>
      <c r="E54" s="26"/>
      <c r="F54" s="8" t="e">
        <f>1/E51*E54</f>
        <v>#DIV/0!</v>
      </c>
      <c r="G54" s="25">
        <f>E54/$C54/$C$2</f>
        <v>0</v>
      </c>
      <c r="H54" s="26">
        <v>28</v>
      </c>
      <c r="I54" s="8">
        <f>1/H51*H54</f>
        <v>0.25688073394495414</v>
      </c>
      <c r="J54" s="25">
        <f>H54/$C54/$C$2</f>
        <v>0.75757575757575757</v>
      </c>
      <c r="K54" s="26"/>
      <c r="L54" s="8">
        <f>1/K51*K54</f>
        <v>0</v>
      </c>
      <c r="M54" s="25">
        <f>K54/$C54/$C$2</f>
        <v>0</v>
      </c>
      <c r="N54" s="26"/>
      <c r="O54" s="8" t="e">
        <f>1/N51*N54</f>
        <v>#DIV/0!</v>
      </c>
      <c r="P54" s="25">
        <f>N54/$C54/$C$2</f>
        <v>0</v>
      </c>
      <c r="Q54">
        <f>H54-T54*H54</f>
        <v>11.2</v>
      </c>
      <c r="R54" s="62">
        <f t="shared" si="0"/>
        <v>26.099999999999998</v>
      </c>
      <c r="S54" s="57">
        <f>S51*Q54</f>
        <v>25.2</v>
      </c>
      <c r="T54" s="85">
        <v>0.6</v>
      </c>
      <c r="U54" s="46">
        <f>H58</f>
        <v>0</v>
      </c>
      <c r="V54" s="40"/>
      <c r="W54" s="35" t="s">
        <v>3</v>
      </c>
      <c r="X54" s="37"/>
    </row>
    <row r="55" spans="2:24" hidden="1" outlineLevel="1" x14ac:dyDescent="0.35">
      <c r="B55" t="s">
        <v>5</v>
      </c>
      <c r="C55" s="21">
        <v>15.4</v>
      </c>
      <c r="D55" s="6">
        <f>C55/SUM(C52:C55)</f>
        <v>0.19371069182389933</v>
      </c>
      <c r="E55" s="26"/>
      <c r="F55" s="8" t="e">
        <f>1/E51*E55</f>
        <v>#DIV/0!</v>
      </c>
      <c r="G55" s="25">
        <f>E55/$C55/$C$2</f>
        <v>0</v>
      </c>
      <c r="H55" s="26">
        <v>32</v>
      </c>
      <c r="I55" s="8">
        <f>1/H51*H55</f>
        <v>0.29357798165137616</v>
      </c>
      <c r="J55" s="25">
        <f>H55/$C55/$C$2</f>
        <v>0.86580086580086579</v>
      </c>
      <c r="K55" s="26">
        <v>51</v>
      </c>
      <c r="L55" s="8">
        <f>1/K51*K55</f>
        <v>1</v>
      </c>
      <c r="M55" s="25">
        <f>K55/$C55/$C$2</f>
        <v>1.3798701298701299</v>
      </c>
      <c r="N55" s="26"/>
      <c r="O55" s="8" t="e">
        <f>1/N51*N55</f>
        <v>#DIV/0!</v>
      </c>
      <c r="P55" s="25">
        <f>N55/$C55/$C$2</f>
        <v>0</v>
      </c>
      <c r="Q55">
        <f>H55-T55*H55</f>
        <v>12.8</v>
      </c>
      <c r="R55" s="62">
        <f t="shared" si="0"/>
        <v>30.45</v>
      </c>
      <c r="S55" s="57">
        <f>S51*Q55</f>
        <v>28.8</v>
      </c>
      <c r="T55" s="85">
        <v>0.6</v>
      </c>
      <c r="U55" s="33" t="s">
        <v>12</v>
      </c>
      <c r="V55" t="s">
        <v>2</v>
      </c>
      <c r="W55" s="36"/>
      <c r="X55" s="44">
        <f>H53</f>
        <v>22</v>
      </c>
    </row>
    <row r="56" spans="2:24" ht="15" hidden="1" outlineLevel="1" thickBot="1" x14ac:dyDescent="0.4">
      <c r="C56" s="19"/>
      <c r="D56" s="19"/>
      <c r="E56" s="7"/>
      <c r="F56" s="5"/>
      <c r="G56" s="4"/>
      <c r="H56" s="7"/>
      <c r="I56" s="5"/>
      <c r="J56" s="4"/>
      <c r="K56" s="7"/>
      <c r="L56" s="5"/>
      <c r="M56" s="5"/>
      <c r="N56" s="7"/>
      <c r="O56" s="5"/>
      <c r="P56" s="4"/>
      <c r="Q56" s="1">
        <f>SUM(Q52:Q55)</f>
        <v>64.899999999999991</v>
      </c>
      <c r="R56" s="1">
        <f>SUM(R52:R55)</f>
        <v>145</v>
      </c>
      <c r="S56" s="84">
        <f>SUM(S52:S55)</f>
        <v>146.02500000000001</v>
      </c>
      <c r="U56" s="34"/>
      <c r="V56" s="45">
        <f>H60</f>
        <v>0</v>
      </c>
      <c r="W56" s="50" t="str">
        <f>IF(X55&gt;V56,"6","5")</f>
        <v>6</v>
      </c>
      <c r="X56" s="39"/>
    </row>
    <row r="57" spans="2:24" ht="15" hidden="1" outlineLevel="1" thickBot="1" x14ac:dyDescent="0.4">
      <c r="B57" s="9" t="s">
        <v>14</v>
      </c>
      <c r="C57" s="20"/>
      <c r="D57" s="20"/>
      <c r="E57" s="22">
        <f>SUM(E58:E60)</f>
        <v>0</v>
      </c>
      <c r="F57" s="15"/>
      <c r="G57" s="16"/>
      <c r="H57" s="22">
        <f>SUM(H58:H60)</f>
        <v>0</v>
      </c>
      <c r="I57" s="17"/>
      <c r="J57" s="18"/>
      <c r="K57" s="22">
        <f>SUM(K58:K60)</f>
        <v>0</v>
      </c>
      <c r="L57" s="17"/>
      <c r="M57" s="17"/>
      <c r="N57" s="22">
        <f>SUM(N58:N60)</f>
        <v>0</v>
      </c>
      <c r="O57" s="13"/>
      <c r="P57" s="14"/>
      <c r="U57" s="41"/>
      <c r="V57" s="47"/>
      <c r="W57" s="48"/>
      <c r="X57" s="49">
        <f>H59</f>
        <v>0</v>
      </c>
    </row>
    <row r="58" spans="2:24" hidden="1" outlineLevel="1" x14ac:dyDescent="0.35">
      <c r="B58" t="s">
        <v>12</v>
      </c>
      <c r="C58" s="21">
        <v>6.4</v>
      </c>
      <c r="D58" s="6">
        <f>C58/SUM(C58:C60)</f>
        <v>0.21843003412969286</v>
      </c>
      <c r="E58" s="26"/>
      <c r="F58" s="8" t="e">
        <f>1/E57*E58</f>
        <v>#DIV/0!</v>
      </c>
      <c r="G58" s="25">
        <f>E58/$C58/$C$2</f>
        <v>0</v>
      </c>
      <c r="H58" s="26"/>
      <c r="I58" s="8" t="e">
        <f>1/H57*H58</f>
        <v>#DIV/0!</v>
      </c>
      <c r="J58" s="25">
        <f>H58/$C58/$C$2</f>
        <v>0</v>
      </c>
      <c r="K58" s="26"/>
      <c r="L58" s="8" t="e">
        <f>1/K57*K58</f>
        <v>#DIV/0!</v>
      </c>
      <c r="M58" s="25">
        <f>K58/$C58/$C$2</f>
        <v>0</v>
      </c>
      <c r="N58" s="26"/>
      <c r="O58" s="8" t="e">
        <f>1/N57*N58</f>
        <v>#DIV/0!</v>
      </c>
      <c r="P58" s="25">
        <f>N58/$C58/$C$2</f>
        <v>0</v>
      </c>
      <c r="U58" s="32"/>
      <c r="V58" s="32"/>
      <c r="X58" s="38"/>
    </row>
    <row r="59" spans="2:24" hidden="1" outlineLevel="1" x14ac:dyDescent="0.35">
      <c r="B59" t="s">
        <v>13</v>
      </c>
      <c r="C59" s="21">
        <f>48.5-32</f>
        <v>16.5</v>
      </c>
      <c r="D59" s="6">
        <f>C59/SUM(C58:C60)</f>
        <v>0.56313993174061439</v>
      </c>
      <c r="E59" s="26"/>
      <c r="F59" s="8" t="e">
        <f>1/E57*E59</f>
        <v>#DIV/0!</v>
      </c>
      <c r="G59" s="25">
        <f>E59/$C59/$C$2</f>
        <v>0</v>
      </c>
      <c r="H59" s="26"/>
      <c r="I59" s="8" t="e">
        <f>1/H57*H59</f>
        <v>#DIV/0!</v>
      </c>
      <c r="J59" s="25">
        <f>H59/$C59/$C$2</f>
        <v>0</v>
      </c>
      <c r="K59" s="26"/>
      <c r="L59" s="8" t="e">
        <f>1/K57*K59</f>
        <v>#DIV/0!</v>
      </c>
      <c r="M59" s="25">
        <f>K59/$C59/$C$2</f>
        <v>0</v>
      </c>
      <c r="N59" s="26"/>
      <c r="O59" s="8" t="e">
        <f>1/N57*N59</f>
        <v>#DIV/0!</v>
      </c>
      <c r="P59" s="25">
        <f>N59/$C59/$C$2</f>
        <v>0</v>
      </c>
      <c r="U59" s="33" t="s">
        <v>11</v>
      </c>
      <c r="V59" s="33" t="s">
        <v>5</v>
      </c>
      <c r="W59" t="s">
        <v>0</v>
      </c>
      <c r="X59" s="38"/>
    </row>
    <row r="60" spans="2:24" hidden="1" outlineLevel="1" x14ac:dyDescent="0.35">
      <c r="B60" t="s">
        <v>2</v>
      </c>
      <c r="C60" s="21">
        <v>6.4</v>
      </c>
      <c r="D60" s="6">
        <f>C60/SUM(C58:C60)</f>
        <v>0.21843003412969286</v>
      </c>
      <c r="E60" s="26"/>
      <c r="F60" s="8" t="e">
        <f>1/E57*E60</f>
        <v>#DIV/0!</v>
      </c>
      <c r="G60" s="25">
        <f>E60/$C60/$C$2</f>
        <v>0</v>
      </c>
      <c r="H60" s="26"/>
      <c r="I60" s="8" t="e">
        <f>1/H57*H60</f>
        <v>#DIV/0!</v>
      </c>
      <c r="J60" s="25">
        <f>H60/$C60/$C$2</f>
        <v>0</v>
      </c>
      <c r="K60" s="26"/>
      <c r="L60" s="8" t="e">
        <f>1/K57*K60</f>
        <v>#DIV/0!</v>
      </c>
      <c r="M60" s="25">
        <f>K60/$C60/$C$2</f>
        <v>0</v>
      </c>
      <c r="N60" s="26"/>
      <c r="O60" s="8" t="e">
        <f>1/N57*N60</f>
        <v>#DIV/0!</v>
      </c>
      <c r="P60" s="25">
        <f>N60/$C60/$C$2</f>
        <v>0</v>
      </c>
      <c r="U60" s="33"/>
      <c r="V60" s="33"/>
      <c r="X60" s="38"/>
    </row>
    <row r="61" spans="2:24" ht="15" hidden="1" outlineLevel="1" thickBot="1" x14ac:dyDescent="0.4">
      <c r="C61" s="5"/>
      <c r="D61" s="5"/>
      <c r="E61" s="7"/>
      <c r="F61" s="5"/>
      <c r="G61" s="4"/>
      <c r="H61" s="7"/>
      <c r="I61" s="5"/>
      <c r="J61" s="4"/>
      <c r="K61" s="7"/>
      <c r="L61" s="5"/>
      <c r="M61" s="5"/>
      <c r="N61" s="7"/>
      <c r="O61" s="5"/>
      <c r="P61" s="4"/>
      <c r="U61" s="43">
        <f>H54</f>
        <v>28</v>
      </c>
      <c r="V61" s="43">
        <f>H55</f>
        <v>32</v>
      </c>
      <c r="W61" s="42">
        <f>H52</f>
        <v>27</v>
      </c>
      <c r="X61" s="39"/>
    </row>
    <row r="62" spans="2:24" hidden="1" outlineLevel="1" x14ac:dyDescent="0.35">
      <c r="B62" s="9" t="s">
        <v>26</v>
      </c>
      <c r="C62" s="17"/>
      <c r="D62" s="17"/>
      <c r="E62" s="10" t="e">
        <f>E51/E57</f>
        <v>#DIV/0!</v>
      </c>
      <c r="F62" s="11"/>
      <c r="G62" s="12"/>
      <c r="H62" s="10" t="e">
        <f>H51/H57</f>
        <v>#DIV/0!</v>
      </c>
      <c r="I62" s="11"/>
      <c r="J62" s="12"/>
      <c r="K62" s="10" t="e">
        <f>K51/K57</f>
        <v>#DIV/0!</v>
      </c>
      <c r="L62" s="11"/>
      <c r="M62" s="11"/>
      <c r="N62" s="10" t="e">
        <f>N51/N57</f>
        <v>#DIV/0!</v>
      </c>
      <c r="O62" s="13"/>
      <c r="P62" s="14"/>
    </row>
    <row r="63" spans="2:24" hidden="1" outlineLevel="1" x14ac:dyDescent="0.35">
      <c r="F63" s="5"/>
      <c r="G63" s="4"/>
      <c r="I63" s="5"/>
      <c r="J63" s="4"/>
      <c r="L63" s="5"/>
      <c r="M63" s="5"/>
      <c r="O63" s="5"/>
      <c r="P63" s="4"/>
    </row>
    <row r="64" spans="2:24" hidden="1" outlineLevel="1" x14ac:dyDescent="0.35">
      <c r="B64" s="1" t="s">
        <v>39</v>
      </c>
      <c r="F64" s="5"/>
      <c r="G64" s="4"/>
      <c r="I64" s="5"/>
      <c r="J64" s="4"/>
      <c r="L64" s="5"/>
      <c r="M64" s="5"/>
      <c r="O64" s="5"/>
      <c r="P64" s="4"/>
    </row>
    <row r="65" spans="2:25" hidden="1" outlineLevel="1" x14ac:dyDescent="0.35">
      <c r="B65" s="29" t="s">
        <v>141</v>
      </c>
      <c r="F65" s="5"/>
      <c r="G65" s="4"/>
      <c r="I65" s="5"/>
      <c r="J65" s="4"/>
      <c r="L65" s="5"/>
      <c r="M65" s="5"/>
      <c r="O65" s="5"/>
      <c r="P65" s="4"/>
    </row>
    <row r="66" spans="2:25" hidden="1" outlineLevel="1" x14ac:dyDescent="0.35">
      <c r="B66" s="29" t="s">
        <v>135</v>
      </c>
      <c r="F66" s="5"/>
      <c r="G66" s="4"/>
      <c r="I66" s="5"/>
      <c r="J66" s="4"/>
      <c r="L66" s="5"/>
      <c r="M66" s="5"/>
      <c r="O66" s="5"/>
      <c r="P66" s="4"/>
    </row>
    <row r="67" spans="2:25" hidden="1" outlineLevel="1" x14ac:dyDescent="0.35">
      <c r="B67" s="29" t="s">
        <v>136</v>
      </c>
      <c r="F67" s="5"/>
      <c r="G67" s="4"/>
      <c r="I67" s="5"/>
      <c r="J67" s="4"/>
      <c r="L67" s="5"/>
      <c r="M67" s="5"/>
      <c r="O67" s="5"/>
      <c r="P67" s="4"/>
      <c r="U67" s="1"/>
    </row>
    <row r="68" spans="2:25" hidden="1" outlineLevel="1" x14ac:dyDescent="0.35">
      <c r="B68" s="29" t="s">
        <v>137</v>
      </c>
      <c r="F68" s="5"/>
      <c r="G68" s="4"/>
      <c r="I68" s="5"/>
      <c r="J68" s="4"/>
      <c r="L68" s="5"/>
      <c r="M68" s="5"/>
      <c r="O68" s="5"/>
      <c r="P68" s="4"/>
      <c r="Q68" s="55"/>
      <c r="V68" s="55"/>
      <c r="W68" s="55"/>
      <c r="X68" s="55"/>
      <c r="Y68" s="55"/>
    </row>
    <row r="69" spans="2:25" collapsed="1" x14ac:dyDescent="0.35">
      <c r="B69" s="29"/>
      <c r="F69" s="5"/>
      <c r="G69" s="4"/>
      <c r="I69" s="5"/>
      <c r="J69" s="4"/>
      <c r="L69" s="5"/>
      <c r="M69" s="5"/>
      <c r="O69" s="5"/>
      <c r="P69" s="4"/>
      <c r="Q69" s="82"/>
      <c r="V69" s="62"/>
      <c r="X69" s="56"/>
      <c r="Y69" s="82"/>
    </row>
    <row r="70" spans="2:25" x14ac:dyDescent="0.35">
      <c r="B70" s="1" t="s">
        <v>151</v>
      </c>
      <c r="C70" s="1"/>
      <c r="D70" s="1"/>
      <c r="F70" s="5"/>
      <c r="G70" s="4"/>
      <c r="I70" s="5"/>
      <c r="J70" s="4"/>
      <c r="L70" s="5"/>
      <c r="M70" s="5"/>
      <c r="O70" s="5"/>
      <c r="P70" s="4"/>
      <c r="V70" s="62"/>
      <c r="X70" s="56"/>
    </row>
    <row r="71" spans="2:25" hidden="1" outlineLevel="1" x14ac:dyDescent="0.35">
      <c r="B71" s="2" t="s">
        <v>7</v>
      </c>
      <c r="C71" s="3" t="s">
        <v>15</v>
      </c>
      <c r="D71" s="3"/>
      <c r="E71" s="95" t="s">
        <v>8</v>
      </c>
      <c r="F71" s="96"/>
      <c r="G71" s="97"/>
      <c r="H71" s="95" t="s">
        <v>6</v>
      </c>
      <c r="I71" s="96"/>
      <c r="J71" s="97"/>
      <c r="K71" s="95" t="s">
        <v>9</v>
      </c>
      <c r="L71" s="96"/>
      <c r="M71" s="97"/>
      <c r="N71" s="95" t="s">
        <v>4</v>
      </c>
      <c r="O71" s="96"/>
      <c r="P71" s="96"/>
      <c r="V71" s="62"/>
      <c r="X71" s="56"/>
    </row>
    <row r="72" spans="2:25" hidden="1" outlineLevel="1" x14ac:dyDescent="0.35">
      <c r="B72" s="2"/>
      <c r="C72" s="3"/>
      <c r="D72" s="3"/>
      <c r="E72" s="23" t="s">
        <v>17</v>
      </c>
      <c r="F72" s="3" t="s">
        <v>1</v>
      </c>
      <c r="G72" s="3" t="s">
        <v>16</v>
      </c>
      <c r="H72" s="23" t="s">
        <v>17</v>
      </c>
      <c r="I72" s="3" t="s">
        <v>1</v>
      </c>
      <c r="J72" s="3" t="s">
        <v>16</v>
      </c>
      <c r="K72" s="23" t="s">
        <v>17</v>
      </c>
      <c r="L72" s="3" t="s">
        <v>1</v>
      </c>
      <c r="M72" s="3" t="s">
        <v>16</v>
      </c>
      <c r="N72" s="23" t="s">
        <v>17</v>
      </c>
      <c r="O72" s="3" t="s">
        <v>1</v>
      </c>
      <c r="P72" s="3" t="s">
        <v>16</v>
      </c>
      <c r="V72" s="62"/>
      <c r="X72" s="56"/>
    </row>
    <row r="73" spans="2:25" hidden="1" outlineLevel="1" x14ac:dyDescent="0.35">
      <c r="B73" s="9" t="s">
        <v>10</v>
      </c>
      <c r="C73" s="17"/>
      <c r="D73" s="17"/>
      <c r="E73" s="22">
        <f>SUM(E74:E77)</f>
        <v>0</v>
      </c>
      <c r="F73" s="17"/>
      <c r="G73" s="18"/>
      <c r="H73" s="22">
        <f>SUM(H74:H77)</f>
        <v>88</v>
      </c>
      <c r="I73" s="17"/>
      <c r="J73" s="18"/>
      <c r="K73" s="22">
        <f>SUM(K74:K77)</f>
        <v>51</v>
      </c>
      <c r="L73" s="17"/>
      <c r="M73" s="17"/>
      <c r="N73" s="22">
        <f>SUM(N74:N77)</f>
        <v>0</v>
      </c>
      <c r="O73" s="13"/>
      <c r="P73" s="14"/>
    </row>
    <row r="74" spans="2:25" hidden="1" outlineLevel="1" x14ac:dyDescent="0.35">
      <c r="B74" t="s">
        <v>0</v>
      </c>
      <c r="C74" s="21">
        <v>32</v>
      </c>
      <c r="D74" s="6">
        <f>C74/SUM(C74:C77)</f>
        <v>0.40251572327044016</v>
      </c>
      <c r="E74" s="26"/>
      <c r="F74" s="8" t="e">
        <f>1/E73*E74</f>
        <v>#DIV/0!</v>
      </c>
      <c r="G74" s="28">
        <f>E74/$C74/$C$2</f>
        <v>0</v>
      </c>
      <c r="H74" s="26">
        <v>25</v>
      </c>
      <c r="I74" s="8">
        <f>1/H73*H74</f>
        <v>0.28409090909090912</v>
      </c>
      <c r="J74" s="25">
        <f>H74/$C74/$C$2</f>
        <v>0.32552083333333337</v>
      </c>
      <c r="K74" s="26"/>
      <c r="L74" s="8">
        <f>1/K73*K74</f>
        <v>0</v>
      </c>
      <c r="M74" s="25">
        <f>K74/$C74/$C$2</f>
        <v>0</v>
      </c>
      <c r="N74" s="26"/>
      <c r="O74" s="8" t="e">
        <f>1/N73*N74</f>
        <v>#DIV/0!</v>
      </c>
      <c r="P74" s="25">
        <f>N74/$C74/$C$2</f>
        <v>0</v>
      </c>
      <c r="T74" s="87"/>
      <c r="U74" s="1" t="s">
        <v>6</v>
      </c>
    </row>
    <row r="75" spans="2:25" ht="15" hidden="1" outlineLevel="1" thickBot="1" x14ac:dyDescent="0.4">
      <c r="B75" t="s">
        <v>3</v>
      </c>
      <c r="C75" s="21">
        <v>16.7</v>
      </c>
      <c r="D75" s="6">
        <f>C75/SUM(C74:C77)</f>
        <v>0.21006289308176096</v>
      </c>
      <c r="E75" s="26"/>
      <c r="F75" s="8" t="e">
        <f>1/E73*E75</f>
        <v>#DIV/0!</v>
      </c>
      <c r="G75" s="25">
        <f>E75/$C75/$C$2</f>
        <v>0</v>
      </c>
      <c r="H75" s="26">
        <v>33</v>
      </c>
      <c r="I75" s="8">
        <f>1/H73*H75</f>
        <v>0.375</v>
      </c>
      <c r="J75" s="25">
        <f>H75/$C75/$C$2</f>
        <v>0.82335329341317365</v>
      </c>
      <c r="K75" s="26"/>
      <c r="L75" s="8">
        <f>1/K73*K75</f>
        <v>0</v>
      </c>
      <c r="M75" s="25">
        <f>K75/$C75/$C$2</f>
        <v>0</v>
      </c>
      <c r="N75" s="26"/>
      <c r="O75" s="8" t="e">
        <f>1/N73*N75</f>
        <v>#DIV/0!</v>
      </c>
      <c r="P75" s="25">
        <f>N75/$C75/$C$2</f>
        <v>0</v>
      </c>
      <c r="T75" s="87"/>
    </row>
    <row r="76" spans="2:25" hidden="1" outlineLevel="1" x14ac:dyDescent="0.35">
      <c r="B76" t="s">
        <v>11</v>
      </c>
      <c r="C76" s="21">
        <v>15.4</v>
      </c>
      <c r="D76" s="6">
        <f>C76/SUM(C74:C77)</f>
        <v>0.19371069182389933</v>
      </c>
      <c r="E76" s="26"/>
      <c r="F76" s="8" t="e">
        <f>1/E73*E76</f>
        <v>#DIV/0!</v>
      </c>
      <c r="G76" s="25">
        <f>E76/$C76/$C$2</f>
        <v>0</v>
      </c>
      <c r="H76" s="26">
        <v>14</v>
      </c>
      <c r="I76" s="8">
        <f>1/H73*H76</f>
        <v>0.15909090909090909</v>
      </c>
      <c r="J76" s="25">
        <f>H76/$C76/$C$2</f>
        <v>0.37878787878787878</v>
      </c>
      <c r="K76" s="26"/>
      <c r="L76" s="8">
        <f>1/K73*K76</f>
        <v>0</v>
      </c>
      <c r="M76" s="25">
        <f>K76/$C76/$C$2</f>
        <v>0</v>
      </c>
      <c r="N76" s="26"/>
      <c r="O76" s="8" t="e">
        <f>1/N73*N76</f>
        <v>#DIV/0!</v>
      </c>
      <c r="P76" s="25">
        <f>N76/$C76/$C$2</f>
        <v>0</v>
      </c>
      <c r="T76" s="87"/>
      <c r="U76" s="46">
        <f>H80</f>
        <v>0</v>
      </c>
      <c r="V76" s="40"/>
      <c r="W76" s="35" t="s">
        <v>3</v>
      </c>
      <c r="X76" s="37"/>
    </row>
    <row r="77" spans="2:25" hidden="1" outlineLevel="1" x14ac:dyDescent="0.35">
      <c r="B77" t="s">
        <v>5</v>
      </c>
      <c r="C77" s="21">
        <v>15.4</v>
      </c>
      <c r="D77" s="6">
        <f>C77/SUM(C74:C77)</f>
        <v>0.19371069182389933</v>
      </c>
      <c r="E77" s="26"/>
      <c r="F77" s="8" t="e">
        <f>1/E73*E77</f>
        <v>#DIV/0!</v>
      </c>
      <c r="G77" s="25">
        <f>E77/$C77/$C$2</f>
        <v>0</v>
      </c>
      <c r="H77" s="26">
        <v>16</v>
      </c>
      <c r="I77" s="8">
        <f>1/H73*H77</f>
        <v>0.18181818181818182</v>
      </c>
      <c r="J77" s="25">
        <f>H77/$C77/$C$2</f>
        <v>0.4329004329004329</v>
      </c>
      <c r="K77" s="26">
        <v>51</v>
      </c>
      <c r="L77" s="8">
        <f>1/K73*K77</f>
        <v>1</v>
      </c>
      <c r="M77" s="25">
        <f>K77/$C77/$C$2</f>
        <v>1.3798701298701299</v>
      </c>
      <c r="N77" s="26"/>
      <c r="O77" s="8" t="e">
        <f>1/N73*N77</f>
        <v>#DIV/0!</v>
      </c>
      <c r="P77" s="25">
        <f>N77/$C77/$C$2</f>
        <v>0</v>
      </c>
      <c r="T77" s="87"/>
      <c r="U77" s="33" t="s">
        <v>12</v>
      </c>
      <c r="V77" t="s">
        <v>2</v>
      </c>
      <c r="W77" s="36"/>
      <c r="X77" s="44">
        <f>H75</f>
        <v>33</v>
      </c>
    </row>
    <row r="78" spans="2:25" ht="15" hidden="1" outlineLevel="1" thickBot="1" x14ac:dyDescent="0.4">
      <c r="C78" s="19"/>
      <c r="D78" s="19"/>
      <c r="E78" s="7"/>
      <c r="F78" s="5"/>
      <c r="G78" s="4"/>
      <c r="H78" s="7"/>
      <c r="I78" s="5"/>
      <c r="J78" s="4"/>
      <c r="K78" s="7"/>
      <c r="L78" s="5"/>
      <c r="M78" s="5"/>
      <c r="N78" s="7"/>
      <c r="O78" s="5"/>
      <c r="P78" s="4"/>
      <c r="R78" s="1"/>
      <c r="S78" s="1"/>
      <c r="U78" s="34"/>
      <c r="V78" s="45">
        <f>H82</f>
        <v>0</v>
      </c>
      <c r="W78" s="50" t="str">
        <f>IF(X77&gt;V78,"6","5")</f>
        <v>6</v>
      </c>
      <c r="X78" s="39"/>
    </row>
    <row r="79" spans="2:25" ht="15" hidden="1" outlineLevel="1" thickBot="1" x14ac:dyDescent="0.4">
      <c r="B79" s="9" t="s">
        <v>14</v>
      </c>
      <c r="C79" s="20"/>
      <c r="D79" s="20"/>
      <c r="E79" s="22">
        <f>SUM(E80:E82)</f>
        <v>0</v>
      </c>
      <c r="F79" s="15"/>
      <c r="G79" s="16"/>
      <c r="H79" s="22">
        <f>SUM(H80:H82)</f>
        <v>0</v>
      </c>
      <c r="I79" s="17"/>
      <c r="J79" s="18"/>
      <c r="K79" s="22">
        <f>SUM(K80:K82)</f>
        <v>0</v>
      </c>
      <c r="L79" s="17"/>
      <c r="M79" s="17"/>
      <c r="N79" s="22">
        <f>SUM(N80:N82)</f>
        <v>0</v>
      </c>
      <c r="O79" s="13"/>
      <c r="P79" s="14"/>
      <c r="U79" s="41"/>
      <c r="V79" s="47"/>
      <c r="W79" s="48"/>
      <c r="X79" s="49">
        <f>H81</f>
        <v>0</v>
      </c>
    </row>
    <row r="80" spans="2:25" hidden="1" outlineLevel="1" x14ac:dyDescent="0.35">
      <c r="B80" t="s">
        <v>12</v>
      </c>
      <c r="C80" s="21">
        <v>6.4</v>
      </c>
      <c r="D80" s="6">
        <f>C80/SUM(C80:C82)</f>
        <v>0.21843003412969286</v>
      </c>
      <c r="E80" s="26"/>
      <c r="F80" s="8" t="e">
        <f>1/E79*E80</f>
        <v>#DIV/0!</v>
      </c>
      <c r="G80" s="25">
        <f>E80/$C80/$C$2</f>
        <v>0</v>
      </c>
      <c r="H80" s="26"/>
      <c r="I80" s="8" t="e">
        <f>1/H79*H80</f>
        <v>#DIV/0!</v>
      </c>
      <c r="J80" s="25">
        <f>H80/$C80/$C$2</f>
        <v>0</v>
      </c>
      <c r="K80" s="26"/>
      <c r="L80" s="8" t="e">
        <f>1/K79*K80</f>
        <v>#DIV/0!</v>
      </c>
      <c r="M80" s="25">
        <f>K80/$C80/$C$2</f>
        <v>0</v>
      </c>
      <c r="N80" s="26"/>
      <c r="O80" s="8" t="e">
        <f>1/N79*N80</f>
        <v>#DIV/0!</v>
      </c>
      <c r="P80" s="25">
        <f>N80/$C80/$C$2</f>
        <v>0</v>
      </c>
      <c r="U80" s="32"/>
      <c r="V80" s="32"/>
      <c r="X80" s="38"/>
    </row>
    <row r="81" spans="2:24" hidden="1" outlineLevel="1" x14ac:dyDescent="0.35">
      <c r="B81" t="s">
        <v>13</v>
      </c>
      <c r="C81" s="21">
        <f>48.5-32</f>
        <v>16.5</v>
      </c>
      <c r="D81" s="6">
        <f>C81/SUM(C80:C82)</f>
        <v>0.56313993174061439</v>
      </c>
      <c r="E81" s="26"/>
      <c r="F81" s="8" t="e">
        <f>1/E79*E81</f>
        <v>#DIV/0!</v>
      </c>
      <c r="G81" s="25">
        <f>E81/$C81/$C$2</f>
        <v>0</v>
      </c>
      <c r="H81" s="26"/>
      <c r="I81" s="8" t="e">
        <f>1/H79*H81</f>
        <v>#DIV/0!</v>
      </c>
      <c r="J81" s="25">
        <f>H81/$C81/$C$2</f>
        <v>0</v>
      </c>
      <c r="K81" s="26"/>
      <c r="L81" s="8" t="e">
        <f>1/K79*K81</f>
        <v>#DIV/0!</v>
      </c>
      <c r="M81" s="25">
        <f>K81/$C81/$C$2</f>
        <v>0</v>
      </c>
      <c r="N81" s="26"/>
      <c r="O81" s="8" t="e">
        <f>1/N79*N81</f>
        <v>#DIV/0!</v>
      </c>
      <c r="P81" s="25">
        <f>N81/$C81/$C$2</f>
        <v>0</v>
      </c>
      <c r="U81" s="33" t="s">
        <v>11</v>
      </c>
      <c r="V81" s="33" t="s">
        <v>5</v>
      </c>
      <c r="W81" t="s">
        <v>0</v>
      </c>
      <c r="X81" s="38"/>
    </row>
    <row r="82" spans="2:24" hidden="1" outlineLevel="1" x14ac:dyDescent="0.35">
      <c r="B82" t="s">
        <v>2</v>
      </c>
      <c r="C82" s="21">
        <v>6.4</v>
      </c>
      <c r="D82" s="6">
        <f>C82/SUM(C80:C82)</f>
        <v>0.21843003412969286</v>
      </c>
      <c r="E82" s="26"/>
      <c r="F82" s="8" t="e">
        <f>1/E79*E82</f>
        <v>#DIV/0!</v>
      </c>
      <c r="G82" s="25">
        <f>E82/$C82/$C$2</f>
        <v>0</v>
      </c>
      <c r="H82" s="26"/>
      <c r="I82" s="8" t="e">
        <f>1/H79*H82</f>
        <v>#DIV/0!</v>
      </c>
      <c r="J82" s="25">
        <f>H82/$C82/$C$2</f>
        <v>0</v>
      </c>
      <c r="K82" s="26"/>
      <c r="L82" s="8" t="e">
        <f>1/K79*K82</f>
        <v>#DIV/0!</v>
      </c>
      <c r="M82" s="25">
        <f>K82/$C82/$C$2</f>
        <v>0</v>
      </c>
      <c r="N82" s="26"/>
      <c r="O82" s="8" t="e">
        <f>1/N79*N82</f>
        <v>#DIV/0!</v>
      </c>
      <c r="P82" s="25">
        <f>N82/$C82/$C$2</f>
        <v>0</v>
      </c>
      <c r="U82" s="33"/>
      <c r="V82" s="33"/>
      <c r="X82" s="38"/>
    </row>
    <row r="83" spans="2:24" ht="15" hidden="1" outlineLevel="1" thickBot="1" x14ac:dyDescent="0.4">
      <c r="C83" s="5"/>
      <c r="D83" s="5"/>
      <c r="E83" s="7"/>
      <c r="F83" s="5"/>
      <c r="G83" s="4"/>
      <c r="H83" s="7"/>
      <c r="I83" s="5"/>
      <c r="J83" s="4"/>
      <c r="K83" s="7"/>
      <c r="L83" s="5"/>
      <c r="M83" s="5"/>
      <c r="N83" s="7"/>
      <c r="O83" s="5"/>
      <c r="P83" s="4"/>
      <c r="U83" s="43">
        <f>H76</f>
        <v>14</v>
      </c>
      <c r="V83" s="43">
        <f>H77</f>
        <v>16</v>
      </c>
      <c r="W83" s="42">
        <f>H74</f>
        <v>25</v>
      </c>
      <c r="X83" s="39"/>
    </row>
    <row r="84" spans="2:24" hidden="1" outlineLevel="1" x14ac:dyDescent="0.35">
      <c r="B84" s="9" t="s">
        <v>26</v>
      </c>
      <c r="C84" s="17"/>
      <c r="D84" s="17"/>
      <c r="E84" s="10" t="e">
        <f>E73/E79</f>
        <v>#DIV/0!</v>
      </c>
      <c r="F84" s="11"/>
      <c r="G84" s="12"/>
      <c r="H84" s="10" t="e">
        <f>H73/H79</f>
        <v>#DIV/0!</v>
      </c>
      <c r="I84" s="11"/>
      <c r="J84" s="12"/>
      <c r="K84" s="10" t="e">
        <f>K73/K79</f>
        <v>#DIV/0!</v>
      </c>
      <c r="L84" s="11"/>
      <c r="M84" s="11"/>
      <c r="N84" s="10" t="e">
        <f>N73/N79</f>
        <v>#DIV/0!</v>
      </c>
      <c r="O84" s="13"/>
      <c r="P84" s="14"/>
    </row>
    <row r="85" spans="2:24" hidden="1" outlineLevel="1" x14ac:dyDescent="0.35">
      <c r="F85" s="5"/>
      <c r="G85" s="4"/>
      <c r="I85" s="5"/>
      <c r="J85" s="4"/>
      <c r="L85" s="5"/>
      <c r="M85" s="5"/>
      <c r="O85" s="5"/>
      <c r="P85" s="4"/>
    </row>
    <row r="86" spans="2:24" hidden="1" outlineLevel="1" x14ac:dyDescent="0.35">
      <c r="B86" s="1" t="s">
        <v>39</v>
      </c>
      <c r="F86" s="5"/>
      <c r="G86" s="4"/>
      <c r="I86" s="5"/>
      <c r="J86" s="4"/>
      <c r="L86" s="5"/>
      <c r="M86" s="5"/>
      <c r="O86" s="5"/>
      <c r="P86" s="4"/>
    </row>
    <row r="87" spans="2:24" hidden="1" outlineLevel="1" x14ac:dyDescent="0.35">
      <c r="B87" s="29" t="s">
        <v>140</v>
      </c>
      <c r="F87" s="5"/>
      <c r="G87" s="4"/>
      <c r="I87" s="5"/>
      <c r="J87" s="4"/>
      <c r="L87" s="5"/>
      <c r="M87" s="5"/>
      <c r="O87" s="5"/>
      <c r="P87" s="4"/>
    </row>
    <row r="88" spans="2:24" collapsed="1" x14ac:dyDescent="0.35">
      <c r="B88" s="29"/>
      <c r="F88" s="5"/>
      <c r="G88" s="4"/>
      <c r="I88" s="5"/>
      <c r="J88" s="4"/>
      <c r="L88" s="5"/>
      <c r="M88" s="5"/>
      <c r="O88" s="5"/>
      <c r="P88" s="4"/>
    </row>
    <row r="89" spans="2:24" x14ac:dyDescent="0.35">
      <c r="B89" s="75" t="s">
        <v>95</v>
      </c>
      <c r="C89" s="75"/>
      <c r="D89" s="75"/>
      <c r="F89" s="5"/>
      <c r="G89" s="4"/>
      <c r="I89" s="5"/>
      <c r="J89" s="4"/>
      <c r="L89" s="5"/>
      <c r="M89" s="5"/>
      <c r="O89" s="5"/>
      <c r="P89" s="4"/>
    </row>
    <row r="90" spans="2:24" outlineLevel="1" x14ac:dyDescent="0.35">
      <c r="B90" s="1"/>
      <c r="C90" s="1"/>
      <c r="D90" s="1"/>
      <c r="F90" s="5"/>
      <c r="G90" s="4"/>
      <c r="I90" s="5"/>
      <c r="J90" s="4"/>
      <c r="L90" s="5"/>
      <c r="M90" s="5"/>
      <c r="O90" s="5"/>
      <c r="P90" s="4"/>
    </row>
    <row r="91" spans="2:24" outlineLevel="1" x14ac:dyDescent="0.35">
      <c r="B91" s="2" t="s">
        <v>7</v>
      </c>
      <c r="C91" s="3" t="s">
        <v>15</v>
      </c>
      <c r="D91" s="3"/>
      <c r="E91" s="95" t="s">
        <v>98</v>
      </c>
      <c r="F91" s="96"/>
      <c r="G91" s="97"/>
      <c r="H91" s="95" t="s">
        <v>99</v>
      </c>
      <c r="I91" s="96"/>
      <c r="J91" s="97"/>
      <c r="K91" s="95" t="s">
        <v>100</v>
      </c>
      <c r="L91" s="96"/>
      <c r="M91" s="97"/>
      <c r="N91" s="95" t="s">
        <v>96</v>
      </c>
      <c r="O91" s="96"/>
      <c r="P91" s="96"/>
    </row>
    <row r="92" spans="2:24" outlineLevel="1" x14ac:dyDescent="0.35">
      <c r="B92" s="2"/>
      <c r="C92" s="3"/>
      <c r="D92" s="3"/>
      <c r="E92" s="23" t="s">
        <v>17</v>
      </c>
      <c r="F92" s="3" t="s">
        <v>1</v>
      </c>
      <c r="G92" s="3" t="s">
        <v>16</v>
      </c>
      <c r="H92" s="23" t="s">
        <v>17</v>
      </c>
      <c r="I92" s="3" t="s">
        <v>1</v>
      </c>
      <c r="J92" s="3" t="s">
        <v>16</v>
      </c>
      <c r="K92" s="23" t="s">
        <v>17</v>
      </c>
      <c r="L92" s="3" t="s">
        <v>1</v>
      </c>
      <c r="M92" s="3" t="s">
        <v>16</v>
      </c>
      <c r="N92" s="23" t="s">
        <v>17</v>
      </c>
      <c r="O92" s="3" t="s">
        <v>1</v>
      </c>
      <c r="P92" s="3" t="s">
        <v>16</v>
      </c>
    </row>
    <row r="93" spans="2:24" outlineLevel="1" x14ac:dyDescent="0.35">
      <c r="B93" s="9" t="s">
        <v>34</v>
      </c>
      <c r="C93" s="17"/>
      <c r="D93" s="17"/>
      <c r="E93" s="63">
        <v>70</v>
      </c>
      <c r="F93" s="17"/>
      <c r="G93" s="18"/>
      <c r="H93" s="63">
        <v>145</v>
      </c>
      <c r="I93" s="17"/>
      <c r="J93" s="18"/>
      <c r="K93" s="31">
        <v>230</v>
      </c>
      <c r="L93" s="17"/>
      <c r="M93" s="17"/>
      <c r="N93" s="31">
        <v>300</v>
      </c>
      <c r="O93" s="13"/>
      <c r="P93" s="14"/>
    </row>
    <row r="94" spans="2:24" outlineLevel="1" x14ac:dyDescent="0.35">
      <c r="B94" t="s">
        <v>0</v>
      </c>
      <c r="C94" s="21">
        <v>32</v>
      </c>
      <c r="D94" s="51">
        <f>C94/SUM(C94:C97)</f>
        <v>0.40251572327044016</v>
      </c>
      <c r="E94" s="60">
        <f>$E$93/100%*F94</f>
        <v>21</v>
      </c>
      <c r="F94" s="8">
        <f>I94</f>
        <v>0.3</v>
      </c>
      <c r="G94" s="30">
        <f>E94/$C94/$C$2</f>
        <v>0.2734375</v>
      </c>
      <c r="H94" s="60">
        <f>$H$93/100%*I94</f>
        <v>43.5</v>
      </c>
      <c r="I94" s="61">
        <v>0.3</v>
      </c>
      <c r="J94" s="25">
        <f>H94/$C94/$C$2</f>
        <v>0.56640625</v>
      </c>
      <c r="K94" s="60">
        <f>$K$93/100%*L94</f>
        <v>69</v>
      </c>
      <c r="L94" s="8">
        <f>I94</f>
        <v>0.3</v>
      </c>
      <c r="M94" s="25">
        <f>K94/$C94/$C$2</f>
        <v>0.8984375</v>
      </c>
      <c r="N94" s="60">
        <f>$N$93/100%*O94</f>
        <v>90</v>
      </c>
      <c r="O94" s="8">
        <f>L94</f>
        <v>0.3</v>
      </c>
      <c r="P94" s="25">
        <f>N94/$C94/$C$2</f>
        <v>1.171875</v>
      </c>
    </row>
    <row r="95" spans="2:24" outlineLevel="1" x14ac:dyDescent="0.35">
      <c r="B95" t="s">
        <v>3</v>
      </c>
      <c r="C95" s="21">
        <v>16.7</v>
      </c>
      <c r="D95" s="51">
        <v>0.26</v>
      </c>
      <c r="E95" s="60">
        <f t="shared" ref="E95:E97" si="1">$E$93/100%*F95</f>
        <v>21.7</v>
      </c>
      <c r="F95" s="8">
        <f t="shared" ref="F95:F97" si="2">I95</f>
        <v>0.31</v>
      </c>
      <c r="G95" s="25">
        <f>E95/$C95/$C$2</f>
        <v>0.54141716566866271</v>
      </c>
      <c r="H95" s="60">
        <f>$H$93/100%*I95</f>
        <v>44.95</v>
      </c>
      <c r="I95" s="61">
        <v>0.31</v>
      </c>
      <c r="J95" s="25">
        <f>H95/$C95/$C$2</f>
        <v>1.1215069860279443</v>
      </c>
      <c r="K95" s="60">
        <f t="shared" ref="K95:K97" si="3">$K$93/100%*L95</f>
        <v>71.3</v>
      </c>
      <c r="L95" s="8">
        <f t="shared" ref="L95:L97" si="4">I95</f>
        <v>0.31</v>
      </c>
      <c r="M95" s="25">
        <f>K95/$C95/$C$2</f>
        <v>1.7789421157684631</v>
      </c>
      <c r="N95" s="60">
        <f t="shared" ref="N95:N97" si="5">$N$93/100%*O95</f>
        <v>93</v>
      </c>
      <c r="O95" s="8">
        <f t="shared" ref="O95:O97" si="6">L95</f>
        <v>0.31</v>
      </c>
      <c r="P95" s="25">
        <f>N95/$C95/$C$2</f>
        <v>2.3203592814371259</v>
      </c>
    </row>
    <row r="96" spans="2:24" ht="15" outlineLevel="1" thickBot="1" x14ac:dyDescent="0.4">
      <c r="B96" t="s">
        <v>11</v>
      </c>
      <c r="C96" s="21">
        <v>15.4</v>
      </c>
      <c r="D96" s="51">
        <v>0.17</v>
      </c>
      <c r="E96" s="60">
        <f t="shared" si="1"/>
        <v>12.6</v>
      </c>
      <c r="F96" s="8">
        <f t="shared" si="2"/>
        <v>0.18</v>
      </c>
      <c r="G96" s="25">
        <f>E96/$C96/$C$2</f>
        <v>0.34090909090909088</v>
      </c>
      <c r="H96" s="60">
        <f>$H$93/100%*I96</f>
        <v>26.099999999999998</v>
      </c>
      <c r="I96" s="61">
        <v>0.18</v>
      </c>
      <c r="J96" s="25">
        <f>H96/$C96/$C$2</f>
        <v>0.70616883116883111</v>
      </c>
      <c r="K96" s="60">
        <f t="shared" si="3"/>
        <v>41.4</v>
      </c>
      <c r="L96" s="8">
        <f t="shared" si="4"/>
        <v>0.18</v>
      </c>
      <c r="M96" s="25">
        <f>K96/$C96/$C$2</f>
        <v>1.1201298701298701</v>
      </c>
      <c r="N96" s="60">
        <f t="shared" si="5"/>
        <v>54</v>
      </c>
      <c r="O96" s="8">
        <f t="shared" si="6"/>
        <v>0.18</v>
      </c>
      <c r="P96" s="25">
        <f>N96/$C96/$C$2</f>
        <v>1.4610389610389611</v>
      </c>
    </row>
    <row r="97" spans="2:26" outlineLevel="1" x14ac:dyDescent="0.35">
      <c r="B97" t="s">
        <v>5</v>
      </c>
      <c r="C97" s="21">
        <v>15.4</v>
      </c>
      <c r="D97" s="51">
        <v>0.17</v>
      </c>
      <c r="E97" s="60">
        <f t="shared" si="1"/>
        <v>14.7</v>
      </c>
      <c r="F97" s="8">
        <f t="shared" si="2"/>
        <v>0.21</v>
      </c>
      <c r="G97" s="25">
        <f>E97/$C97/$C$2</f>
        <v>0.39772727272727271</v>
      </c>
      <c r="H97" s="60">
        <f>$H$93/100%*I97</f>
        <v>30.45</v>
      </c>
      <c r="I97" s="61">
        <v>0.21</v>
      </c>
      <c r="J97" s="25">
        <f>H97/$C97/$C$2</f>
        <v>0.82386363636363635</v>
      </c>
      <c r="K97" s="60">
        <f t="shared" si="3"/>
        <v>48.3</v>
      </c>
      <c r="L97" s="8">
        <f t="shared" si="4"/>
        <v>0.21</v>
      </c>
      <c r="M97" s="25">
        <f>K97/$C97/$C$2</f>
        <v>1.3068181818181819</v>
      </c>
      <c r="N97" s="60">
        <f t="shared" si="5"/>
        <v>63</v>
      </c>
      <c r="O97" s="8">
        <f t="shared" si="6"/>
        <v>0.21</v>
      </c>
      <c r="P97" s="25">
        <f>N97/$C97/$C$2</f>
        <v>1.7045454545454546</v>
      </c>
      <c r="U97" s="46">
        <f>H100</f>
        <v>34.272727272727273</v>
      </c>
      <c r="V97" s="40"/>
      <c r="W97" s="35" t="s">
        <v>3</v>
      </c>
      <c r="X97" s="37"/>
    </row>
    <row r="98" spans="2:26" outlineLevel="1" x14ac:dyDescent="0.35">
      <c r="C98" s="19"/>
      <c r="D98" s="19"/>
      <c r="E98" s="7"/>
      <c r="F98" s="5"/>
      <c r="G98" s="4"/>
      <c r="H98" s="7"/>
      <c r="I98" s="5"/>
      <c r="J98" s="4"/>
      <c r="K98" s="7"/>
      <c r="L98" s="5"/>
      <c r="M98" s="5"/>
      <c r="N98" s="7"/>
      <c r="O98" s="5"/>
      <c r="P98" s="4"/>
      <c r="U98" s="33" t="s">
        <v>12</v>
      </c>
      <c r="V98" t="s">
        <v>2</v>
      </c>
      <c r="W98" s="36"/>
      <c r="X98" s="44">
        <f>H95</f>
        <v>44.95</v>
      </c>
    </row>
    <row r="99" spans="2:26" ht="15" outlineLevel="1" thickBot="1" x14ac:dyDescent="0.4">
      <c r="B99" s="9" t="s">
        <v>35</v>
      </c>
      <c r="C99" s="17"/>
      <c r="D99" s="17"/>
      <c r="E99" s="64">
        <f>E93</f>
        <v>70</v>
      </c>
      <c r="F99" s="17"/>
      <c r="G99" s="18"/>
      <c r="H99" s="79">
        <f>H93</f>
        <v>145</v>
      </c>
      <c r="I99" s="17"/>
      <c r="J99" s="18"/>
      <c r="K99" s="22">
        <f>K93</f>
        <v>230</v>
      </c>
      <c r="L99" s="17"/>
      <c r="M99" s="17"/>
      <c r="N99" s="31">
        <f>N93</f>
        <v>300</v>
      </c>
      <c r="O99" s="13"/>
      <c r="P99" s="14"/>
      <c r="U99" s="34"/>
      <c r="V99" s="45">
        <f>H102</f>
        <v>40.6</v>
      </c>
      <c r="W99" s="50" t="str">
        <f>IF(X98&gt;V99,"6","5")</f>
        <v>6</v>
      </c>
      <c r="X99" s="39"/>
    </row>
    <row r="100" spans="2:26" outlineLevel="1" x14ac:dyDescent="0.35">
      <c r="B100" t="s">
        <v>12</v>
      </c>
      <c r="C100" s="21">
        <v>6.4</v>
      </c>
      <c r="D100" s="6">
        <f>C100/SUM(C100:C102)</f>
        <v>0.21843003412969286</v>
      </c>
      <c r="E100" s="60">
        <f>$E$99/100%*F100</f>
        <v>16.545454545454547</v>
      </c>
      <c r="F100" s="8">
        <f t="shared" ref="F100:F102" si="7">I100</f>
        <v>0.23636363636363636</v>
      </c>
      <c r="G100" s="25">
        <f>E100/$C100/$C$2</f>
        <v>1.0771780303030305</v>
      </c>
      <c r="H100" s="60">
        <f>$H$99/100%*I100</f>
        <v>34.272727272727273</v>
      </c>
      <c r="I100" s="61">
        <f>I35</f>
        <v>0.23636363636363636</v>
      </c>
      <c r="J100" s="25">
        <f>H100/$C100/$C$2</f>
        <v>2.2312973484848482</v>
      </c>
      <c r="K100" s="60">
        <f>$K$99/100%*L100</f>
        <v>54.36363636363636</v>
      </c>
      <c r="L100" s="8">
        <f>I100</f>
        <v>0.23636363636363636</v>
      </c>
      <c r="M100" s="25">
        <f>K100/$C100/$C$2</f>
        <v>3.5392992424242418</v>
      </c>
      <c r="N100" s="60">
        <f>$N$99/100%*O100</f>
        <v>70.909090909090907</v>
      </c>
      <c r="O100" s="8">
        <f>L100</f>
        <v>0.23636363636363636</v>
      </c>
      <c r="P100" s="25">
        <f>N100/$C100/$C$2</f>
        <v>4.6164772727272725</v>
      </c>
      <c r="U100" s="32"/>
      <c r="V100" s="32"/>
      <c r="X100" s="38"/>
    </row>
    <row r="101" spans="2:26" outlineLevel="1" x14ac:dyDescent="0.35">
      <c r="B101" t="s">
        <v>13</v>
      </c>
      <c r="C101" s="21">
        <f>48.5-32</f>
        <v>16.5</v>
      </c>
      <c r="D101" s="6">
        <f>C101/SUM(C100:C102)</f>
        <v>0.56313993174061439</v>
      </c>
      <c r="E101" s="60">
        <f t="shared" ref="E101:E102" si="8">$E$99/100%*F101</f>
        <v>33.6</v>
      </c>
      <c r="F101" s="8">
        <f t="shared" si="7"/>
        <v>0.48</v>
      </c>
      <c r="G101" s="25">
        <f>E101/$C101/$C$2</f>
        <v>0.84848484848484862</v>
      </c>
      <c r="H101" s="60">
        <f t="shared" ref="H101:H102" si="9">$H$99/100%*I101</f>
        <v>69.599999999999994</v>
      </c>
      <c r="I101" s="61">
        <v>0.48</v>
      </c>
      <c r="J101" s="25">
        <f>H101/$C101/$C$2</f>
        <v>1.7575757575757576</v>
      </c>
      <c r="K101" s="60">
        <f t="shared" ref="K101:K102" si="10">$K$99/100%*L101</f>
        <v>110.39999999999999</v>
      </c>
      <c r="L101" s="8">
        <f t="shared" ref="L101:L102" si="11">I101</f>
        <v>0.48</v>
      </c>
      <c r="M101" s="25">
        <f>K101/$C101/$C$2</f>
        <v>2.7878787878787876</v>
      </c>
      <c r="N101" s="60">
        <f t="shared" ref="N101:N102" si="12">$N$99/100%*O101</f>
        <v>144</v>
      </c>
      <c r="O101" s="8">
        <f t="shared" ref="O101:O102" si="13">L101</f>
        <v>0.48</v>
      </c>
      <c r="P101" s="25">
        <f>N101/$C101/$C$2</f>
        <v>3.6363636363636362</v>
      </c>
      <c r="U101" s="33" t="s">
        <v>11</v>
      </c>
      <c r="V101" s="33" t="s">
        <v>5</v>
      </c>
      <c r="W101" t="s">
        <v>0</v>
      </c>
      <c r="X101" s="38"/>
    </row>
    <row r="102" spans="2:26" outlineLevel="1" x14ac:dyDescent="0.35">
      <c r="B102" t="s">
        <v>2</v>
      </c>
      <c r="C102" s="21">
        <v>6.4</v>
      </c>
      <c r="D102" s="6">
        <f>C102/SUM(C100:C102)</f>
        <v>0.21843003412969286</v>
      </c>
      <c r="E102" s="60">
        <f t="shared" si="8"/>
        <v>19.600000000000001</v>
      </c>
      <c r="F102" s="8">
        <f t="shared" si="7"/>
        <v>0.28000000000000003</v>
      </c>
      <c r="G102" s="25">
        <f>E102/$C102/$C$2</f>
        <v>1.2760416666666667</v>
      </c>
      <c r="H102" s="60">
        <f t="shared" si="9"/>
        <v>40.6</v>
      </c>
      <c r="I102" s="61">
        <v>0.28000000000000003</v>
      </c>
      <c r="J102" s="25">
        <f>H102/$C102/$C$2</f>
        <v>2.643229166666667</v>
      </c>
      <c r="K102" s="60">
        <f t="shared" si="10"/>
        <v>64.400000000000006</v>
      </c>
      <c r="L102" s="8">
        <f t="shared" si="11"/>
        <v>0.28000000000000003</v>
      </c>
      <c r="M102" s="25">
        <f>K102/$C102/$C$2</f>
        <v>4.1927083333333339</v>
      </c>
      <c r="N102" s="60">
        <f t="shared" si="12"/>
        <v>84.000000000000014</v>
      </c>
      <c r="O102" s="8">
        <f t="shared" si="13"/>
        <v>0.28000000000000003</v>
      </c>
      <c r="P102" s="25">
        <f>N102/$C102/$C$2</f>
        <v>5.4687500000000009</v>
      </c>
      <c r="U102" s="33"/>
      <c r="V102" s="33"/>
      <c r="X102" s="38"/>
    </row>
    <row r="103" spans="2:26" ht="15" outlineLevel="1" thickBot="1" x14ac:dyDescent="0.4">
      <c r="C103" s="5"/>
      <c r="D103" s="5"/>
      <c r="F103" s="5"/>
      <c r="G103" s="4"/>
      <c r="H103" s="7"/>
      <c r="I103" s="5"/>
      <c r="J103" s="4"/>
      <c r="K103" s="7"/>
      <c r="L103" s="8"/>
      <c r="M103" s="5"/>
      <c r="N103" s="7"/>
      <c r="O103" s="8"/>
      <c r="P103" s="4"/>
      <c r="U103" s="43">
        <f>H96</f>
        <v>26.099999999999998</v>
      </c>
      <c r="V103" s="43">
        <f>H97</f>
        <v>30.45</v>
      </c>
      <c r="W103" s="42">
        <f>H94</f>
        <v>43.5</v>
      </c>
      <c r="X103" s="39"/>
    </row>
    <row r="104" spans="2:26" outlineLevel="1" x14ac:dyDescent="0.35">
      <c r="E104" s="7"/>
    </row>
    <row r="105" spans="2:26" outlineLevel="1" x14ac:dyDescent="0.35">
      <c r="F105" s="55" t="s">
        <v>1</v>
      </c>
      <c r="G105" t="s">
        <v>104</v>
      </c>
      <c r="I105" s="55" t="s">
        <v>1</v>
      </c>
      <c r="J105" t="s">
        <v>104</v>
      </c>
      <c r="L105" s="55" t="s">
        <v>1</v>
      </c>
      <c r="M105" t="s">
        <v>104</v>
      </c>
      <c r="O105" s="55" t="s">
        <v>1</v>
      </c>
      <c r="P105" t="s">
        <v>104</v>
      </c>
    </row>
    <row r="106" spans="2:26" outlineLevel="1" x14ac:dyDescent="0.35">
      <c r="D106" t="s">
        <v>133</v>
      </c>
      <c r="E106" s="78">
        <v>1.3</v>
      </c>
      <c r="H106" s="78">
        <v>1.1299999999999999</v>
      </c>
      <c r="K106" s="78">
        <v>1.1299999999999999</v>
      </c>
      <c r="N106" s="78">
        <v>1.17</v>
      </c>
    </row>
    <row r="107" spans="2:26" outlineLevel="1" x14ac:dyDescent="0.35">
      <c r="D107" t="s">
        <v>102</v>
      </c>
      <c r="E107" s="62">
        <f>E93</f>
        <v>70</v>
      </c>
      <c r="F107" s="65">
        <f>100/350*ROUNDUP(E107,0)*E106</f>
        <v>26</v>
      </c>
      <c r="G107" t="str">
        <f>DEC2HEX(F107,2)</f>
        <v>1A</v>
      </c>
      <c r="H107" s="62">
        <f>H93</f>
        <v>145</v>
      </c>
      <c r="I107" s="65">
        <f>100/350*ROUNDUP(H107,0)*H106</f>
        <v>46.814285714285703</v>
      </c>
      <c r="J107" t="str">
        <f>DEC2HEX(I107,2)</f>
        <v>2E</v>
      </c>
      <c r="K107" s="62">
        <f>K93</f>
        <v>230</v>
      </c>
      <c r="L107" s="65">
        <f>100/350*ROUNDUP(K107,0)*K106</f>
        <v>74.257142857142838</v>
      </c>
      <c r="M107" t="str">
        <f>DEC2HEX(L107,2)</f>
        <v>4A</v>
      </c>
      <c r="N107" s="62">
        <f>N93</f>
        <v>300</v>
      </c>
      <c r="O107" s="65">
        <f>100/350*ROUNDUP(N107,0)*N106</f>
        <v>100.28571428571428</v>
      </c>
      <c r="P107" t="str">
        <f>DEC2HEX(O107,2)</f>
        <v>64</v>
      </c>
    </row>
    <row r="108" spans="2:26" outlineLevel="1" x14ac:dyDescent="0.35">
      <c r="D108" t="s">
        <v>103</v>
      </c>
      <c r="E108" s="62">
        <f>E107</f>
        <v>70</v>
      </c>
      <c r="F108" s="65">
        <f>100/350*ROUNDUP(E108,0)*E109</f>
        <v>24</v>
      </c>
      <c r="G108" t="str">
        <f>DEC2HEX(F108,2)</f>
        <v>18</v>
      </c>
      <c r="H108" s="62">
        <f>H107</f>
        <v>145</v>
      </c>
      <c r="I108" s="65">
        <f>100/350*ROUNDUP(H108,0)*H109</f>
        <v>43.085714285714282</v>
      </c>
      <c r="J108" t="str">
        <f>DEC2HEX(I108,2)</f>
        <v>2B</v>
      </c>
      <c r="K108" s="62">
        <f>K107</f>
        <v>230</v>
      </c>
      <c r="L108" s="65">
        <f>100/350*ROUNDUP(K108,0)*K109</f>
        <v>67.817142857142855</v>
      </c>
      <c r="M108" t="str">
        <f>DEC2HEX(L108,2)</f>
        <v>43</v>
      </c>
      <c r="N108" s="62">
        <f>N107</f>
        <v>300</v>
      </c>
      <c r="O108" s="65">
        <f>100/350*ROUNDUP(N108,0)*N109</f>
        <v>91.285714285714278</v>
      </c>
      <c r="P108" t="str">
        <f>DEC2HEX(O108,2)</f>
        <v>5B</v>
      </c>
    </row>
    <row r="109" spans="2:26" outlineLevel="1" x14ac:dyDescent="0.35">
      <c r="D109" t="s">
        <v>133</v>
      </c>
      <c r="E109" s="78">
        <v>1.2</v>
      </c>
      <c r="F109" s="65"/>
      <c r="H109" s="78">
        <v>1.04</v>
      </c>
      <c r="I109" s="65"/>
      <c r="K109" s="78">
        <v>1.032</v>
      </c>
      <c r="L109" s="65"/>
      <c r="N109" s="78">
        <v>1.0649999999999999</v>
      </c>
      <c r="O109" s="65"/>
    </row>
    <row r="110" spans="2:26" outlineLevel="1" x14ac:dyDescent="0.35">
      <c r="F110" s="65"/>
      <c r="H110" s="62"/>
      <c r="I110" s="65"/>
      <c r="K110" s="62"/>
      <c r="L110" s="65"/>
      <c r="N110" s="62"/>
      <c r="O110" s="65"/>
    </row>
    <row r="111" spans="2:26" ht="15" outlineLevel="1" thickBot="1" x14ac:dyDescent="0.4">
      <c r="G111" t="s">
        <v>123</v>
      </c>
      <c r="H111" t="s">
        <v>124</v>
      </c>
      <c r="I111" t="s">
        <v>125</v>
      </c>
      <c r="J111" t="s">
        <v>126</v>
      </c>
      <c r="K111" t="s">
        <v>127</v>
      </c>
      <c r="L111" t="s">
        <v>128</v>
      </c>
      <c r="M111" t="s">
        <v>129</v>
      </c>
      <c r="N111" t="s">
        <v>130</v>
      </c>
    </row>
    <row r="112" spans="2:26" ht="15" outlineLevel="1" thickBot="1" x14ac:dyDescent="0.4">
      <c r="C112" s="66" t="s">
        <v>105</v>
      </c>
      <c r="D112" s="100" t="s">
        <v>106</v>
      </c>
      <c r="E112" s="101"/>
      <c r="F112" s="66" t="s">
        <v>107</v>
      </c>
      <c r="G112" s="67" t="s">
        <v>108</v>
      </c>
      <c r="H112" s="67" t="s">
        <v>109</v>
      </c>
      <c r="I112" s="67" t="s">
        <v>110</v>
      </c>
      <c r="J112" s="67" t="s">
        <v>111</v>
      </c>
      <c r="K112" s="67" t="s">
        <v>112</v>
      </c>
      <c r="L112" s="67" t="s">
        <v>113</v>
      </c>
      <c r="M112" s="67" t="s">
        <v>114</v>
      </c>
      <c r="N112" s="67" t="s">
        <v>115</v>
      </c>
      <c r="O112" s="67" t="s">
        <v>116</v>
      </c>
      <c r="P112" s="67" t="s">
        <v>117</v>
      </c>
      <c r="Q112" s="67"/>
      <c r="R112" s="68" t="s">
        <v>118</v>
      </c>
      <c r="S112" s="68"/>
      <c r="T112" s="67"/>
      <c r="U112" s="98" t="s">
        <v>119</v>
      </c>
      <c r="V112" s="99"/>
      <c r="W112" s="99"/>
      <c r="X112" s="99"/>
      <c r="Y112" s="99"/>
      <c r="Z112" s="99"/>
    </row>
    <row r="113" spans="2:24" outlineLevel="1" x14ac:dyDescent="0.35">
      <c r="B113" s="80" t="s">
        <v>132</v>
      </c>
      <c r="C113" s="69" t="s">
        <v>120</v>
      </c>
      <c r="D113" s="70">
        <v>0</v>
      </c>
      <c r="E113" s="71" t="s">
        <v>121</v>
      </c>
      <c r="F113" s="71">
        <v>9</v>
      </c>
      <c r="G113" s="71" t="str">
        <f>G108</f>
        <v>18</v>
      </c>
      <c r="H113" s="71" t="str">
        <f>J108</f>
        <v>2B</v>
      </c>
      <c r="I113" s="71" t="str">
        <f>M108</f>
        <v>43</v>
      </c>
      <c r="J113" s="71" t="str">
        <f>G107</f>
        <v>1A</v>
      </c>
      <c r="K113" s="71" t="str">
        <f>J107</f>
        <v>2E</v>
      </c>
      <c r="L113" s="71" t="str">
        <f>M107</f>
        <v>4A</v>
      </c>
      <c r="M113" s="71" t="str">
        <f>P108</f>
        <v>5B</v>
      </c>
      <c r="N113" s="71" t="str">
        <f>P107</f>
        <v>64</v>
      </c>
      <c r="O113" s="71">
        <v>0</v>
      </c>
      <c r="P113" s="69" t="str">
        <f>RIGHTB(DEC2HEX(HEX2DEC(D113)+HEX2DEC(E113)+HEX2DEC(F113)+HEX2DEC(M113)+HEX2DEC(L113)+HEX2DEC(K113)+HEX2DEC(J113)+HEX2DEC(I113)+HEX2DEC(H113)+HEX2DEC(G113)+HEX2DEC(N113)+HEX2DEC(O113)+173),2)</f>
        <v>5C</v>
      </c>
      <c r="R113" s="69" t="s">
        <v>122</v>
      </c>
      <c r="S113" s="69"/>
      <c r="T113" s="88"/>
      <c r="U113" s="69"/>
    </row>
    <row r="114" spans="2:24" outlineLevel="1" x14ac:dyDescent="0.35">
      <c r="C114" s="69" t="str">
        <f>C113</f>
        <v>\x07\xF0</v>
      </c>
      <c r="D114" s="69" t="str">
        <f>"\x"&amp;TEXT(D113,"00")</f>
        <v>\x00</v>
      </c>
      <c r="E114" s="69" t="str">
        <f t="shared" ref="E114:P114" si="14">"\x"&amp;TEXT(E113,"00")</f>
        <v>\xCF</v>
      </c>
      <c r="F114" s="69" t="str">
        <f t="shared" si="14"/>
        <v>\x09</v>
      </c>
      <c r="G114" s="69" t="str">
        <f t="shared" si="14"/>
        <v>\x18</v>
      </c>
      <c r="H114" s="69" t="str">
        <f t="shared" ref="H114:O114" si="15">IF(H113="","","\x"&amp;TEXT(H113,"00"))</f>
        <v>\x2B</v>
      </c>
      <c r="I114" s="69" t="str">
        <f t="shared" si="15"/>
        <v>\x43</v>
      </c>
      <c r="J114" s="69" t="str">
        <f t="shared" si="15"/>
        <v>\x1A</v>
      </c>
      <c r="K114" s="69" t="str">
        <f t="shared" si="15"/>
        <v>\x2E</v>
      </c>
      <c r="L114" s="69" t="str">
        <f t="shared" si="15"/>
        <v>\x4A</v>
      </c>
      <c r="M114" s="69" t="str">
        <f t="shared" si="15"/>
        <v>\x5B</v>
      </c>
      <c r="N114" s="69" t="str">
        <f t="shared" si="15"/>
        <v>\x64</v>
      </c>
      <c r="O114" s="69" t="str">
        <f t="shared" si="15"/>
        <v>\x00</v>
      </c>
      <c r="P114" s="69" t="str">
        <f t="shared" si="14"/>
        <v>\x5C</v>
      </c>
      <c r="R114" s="69" t="str">
        <f t="shared" ref="R114" si="16">R113</f>
        <v>\x07\x0F</v>
      </c>
      <c r="S114" s="69"/>
      <c r="T114" s="88"/>
      <c r="U114" s="69" t="str">
        <f>C114&amp;D114&amp;E114&amp;F114&amp;G114&amp;H114&amp;I114&amp;J114&amp;K114&amp;L114&amp;M114&amp;N114&amp;O114&amp;P114&amp;R114</f>
        <v>\x07\xF0\x00\xCF\x09\x18\x2B\x43\x1A\x2E\x4A\x5B\x64\x00\x5C\x07\x0F</v>
      </c>
    </row>
    <row r="115" spans="2:24" outlineLevel="1" x14ac:dyDescent="0.35"/>
    <row r="116" spans="2:24" outlineLevel="1" x14ac:dyDescent="0.35">
      <c r="B116" s="80" t="s">
        <v>131</v>
      </c>
      <c r="C116" s="69" t="s">
        <v>120</v>
      </c>
      <c r="D116" s="70">
        <v>0</v>
      </c>
      <c r="E116" s="71" t="str">
        <f>E113</f>
        <v>CF</v>
      </c>
      <c r="F116" s="71">
        <f t="shared" ref="F116:O116" si="17">F113</f>
        <v>9</v>
      </c>
      <c r="G116" s="72">
        <v>0</v>
      </c>
      <c r="H116" s="71" t="str">
        <f t="shared" si="17"/>
        <v>2B</v>
      </c>
      <c r="I116" s="71" t="str">
        <f t="shared" si="17"/>
        <v>43</v>
      </c>
      <c r="J116" s="72">
        <v>0</v>
      </c>
      <c r="K116" s="71" t="str">
        <f t="shared" si="17"/>
        <v>2E</v>
      </c>
      <c r="L116" s="71" t="str">
        <f t="shared" si="17"/>
        <v>4A</v>
      </c>
      <c r="M116" s="71" t="str">
        <f>M113</f>
        <v>5B</v>
      </c>
      <c r="N116" s="71" t="str">
        <f t="shared" si="17"/>
        <v>64</v>
      </c>
      <c r="O116" s="71">
        <f t="shared" si="17"/>
        <v>0</v>
      </c>
      <c r="P116" s="69" t="str">
        <f>RIGHTB(DEC2HEX(HEX2DEC(D116)+HEX2DEC(E116)+HEX2DEC(F116)+HEX2DEC(M116)+HEX2DEC(L116)+HEX2DEC(K116)+HEX2DEC(J116)+HEX2DEC(I116)+HEX2DEC(H116)+HEX2DEC(G116)+HEX2DEC(N116)+HEX2DEC(O116)+173),2)</f>
        <v>2A</v>
      </c>
      <c r="R116" s="69" t="s">
        <v>122</v>
      </c>
      <c r="S116" s="69"/>
      <c r="T116" s="88"/>
      <c r="U116" s="69"/>
    </row>
    <row r="117" spans="2:24" outlineLevel="1" x14ac:dyDescent="0.35">
      <c r="C117" s="69" t="str">
        <f>C116</f>
        <v>\x07\xF0</v>
      </c>
      <c r="D117" s="69" t="str">
        <f>"\x"&amp;TEXT(D116,"00")</f>
        <v>\x00</v>
      </c>
      <c r="E117" s="69" t="str">
        <f t="shared" ref="E117:G117" si="18">"\x"&amp;TEXT(E116,"00")</f>
        <v>\xCF</v>
      </c>
      <c r="F117" s="69" t="str">
        <f t="shared" si="18"/>
        <v>\x09</v>
      </c>
      <c r="G117" s="69" t="str">
        <f t="shared" si="18"/>
        <v>\x00</v>
      </c>
      <c r="H117" s="69" t="str">
        <f t="shared" ref="H117:O117" si="19">IF(H116="","","\x"&amp;TEXT(H116,"00"))</f>
        <v>\x2B</v>
      </c>
      <c r="I117" s="69" t="str">
        <f t="shared" si="19"/>
        <v>\x43</v>
      </c>
      <c r="J117" s="69" t="str">
        <f t="shared" si="19"/>
        <v>\x00</v>
      </c>
      <c r="K117" s="69" t="str">
        <f t="shared" si="19"/>
        <v>\x2E</v>
      </c>
      <c r="L117" s="69" t="str">
        <f t="shared" si="19"/>
        <v>\x4A</v>
      </c>
      <c r="M117" s="69" t="str">
        <f t="shared" si="19"/>
        <v>\x5B</v>
      </c>
      <c r="N117" s="69" t="str">
        <f t="shared" si="19"/>
        <v>\x64</v>
      </c>
      <c r="O117" s="69" t="str">
        <f t="shared" si="19"/>
        <v>\x00</v>
      </c>
      <c r="P117" s="69" t="str">
        <f t="shared" ref="P117" si="20">"\x"&amp;TEXT(P116,"00")</f>
        <v>\x2A</v>
      </c>
      <c r="R117" s="69" t="str">
        <f t="shared" ref="R117" si="21">R116</f>
        <v>\x07\x0F</v>
      </c>
      <c r="S117" s="69"/>
      <c r="T117" s="88"/>
      <c r="U117" s="69" t="str">
        <f>C117&amp;D117&amp;E117&amp;F117&amp;G117&amp;H117&amp;I117&amp;J117&amp;K117&amp;L117&amp;M117&amp;N117&amp;O117&amp;P117&amp;R117</f>
        <v>\x07\xF0\x00\xCF\x09\x00\x2B\x43\x00\x2E\x4A\x5B\x64\x00\x2A\x07\x0F</v>
      </c>
    </row>
    <row r="120" spans="2:24" x14ac:dyDescent="0.35">
      <c r="B120" s="75" t="s">
        <v>152</v>
      </c>
      <c r="C120" s="75"/>
      <c r="D120" s="75"/>
      <c r="E120" s="59"/>
      <c r="F120" s="76"/>
      <c r="G120" s="77"/>
      <c r="H120" s="59"/>
      <c r="I120" s="5"/>
      <c r="J120" s="4"/>
      <c r="L120" s="5"/>
      <c r="M120" s="5"/>
      <c r="O120" s="5"/>
      <c r="P120" s="4"/>
    </row>
    <row r="121" spans="2:24" outlineLevel="1" x14ac:dyDescent="0.35">
      <c r="B121" s="2" t="s">
        <v>7</v>
      </c>
      <c r="C121" s="3" t="s">
        <v>15</v>
      </c>
      <c r="D121" s="3"/>
      <c r="E121" s="95" t="s">
        <v>8</v>
      </c>
      <c r="F121" s="96"/>
      <c r="G121" s="97"/>
      <c r="H121" s="95" t="s">
        <v>6</v>
      </c>
      <c r="I121" s="96"/>
      <c r="J121" s="97"/>
      <c r="K121" s="95" t="s">
        <v>9</v>
      </c>
      <c r="L121" s="96"/>
      <c r="M121" s="97"/>
      <c r="N121" s="95" t="s">
        <v>4</v>
      </c>
      <c r="O121" s="96"/>
      <c r="P121" s="96"/>
    </row>
    <row r="122" spans="2:24" outlineLevel="1" x14ac:dyDescent="0.35">
      <c r="B122" s="2"/>
      <c r="C122" s="3"/>
      <c r="D122" s="3"/>
      <c r="E122" s="23" t="s">
        <v>17</v>
      </c>
      <c r="F122" s="3" t="s">
        <v>1</v>
      </c>
      <c r="G122" s="3" t="s">
        <v>16</v>
      </c>
      <c r="H122" s="23" t="s">
        <v>17</v>
      </c>
      <c r="I122" s="3" t="s">
        <v>1</v>
      </c>
      <c r="J122" s="3" t="s">
        <v>16</v>
      </c>
      <c r="K122" s="23" t="s">
        <v>17</v>
      </c>
      <c r="L122" s="3" t="s">
        <v>1</v>
      </c>
      <c r="M122" s="3" t="s">
        <v>16</v>
      </c>
      <c r="N122" s="23" t="s">
        <v>17</v>
      </c>
      <c r="O122" s="3" t="s">
        <v>1</v>
      </c>
      <c r="P122" s="3" t="s">
        <v>16</v>
      </c>
    </row>
    <row r="123" spans="2:24" outlineLevel="1" x14ac:dyDescent="0.35">
      <c r="B123" s="9" t="s">
        <v>10</v>
      </c>
      <c r="C123" s="81"/>
      <c r="D123" s="17"/>
      <c r="E123" s="22">
        <f>SUM(E124:E127)</f>
        <v>69</v>
      </c>
      <c r="F123" s="93">
        <f>1/350*E123</f>
        <v>0.19714285714285715</v>
      </c>
      <c r="G123" s="18"/>
      <c r="H123" s="22">
        <f>SUM(H124:H127)</f>
        <v>145</v>
      </c>
      <c r="I123" s="93">
        <f>1/350*H123</f>
        <v>0.41428571428571431</v>
      </c>
      <c r="J123" s="18"/>
      <c r="K123" s="22">
        <f>SUM(K124:K127)</f>
        <v>230</v>
      </c>
      <c r="L123" s="93">
        <f>1/350*K123</f>
        <v>0.65714285714285714</v>
      </c>
      <c r="M123" s="17"/>
      <c r="N123" s="22">
        <f>SUM(N124:N127)</f>
        <v>303</v>
      </c>
      <c r="O123" s="93">
        <f>1/350*N123</f>
        <v>0.86571428571428566</v>
      </c>
      <c r="P123" s="14"/>
    </row>
    <row r="124" spans="2:24" outlineLevel="1" x14ac:dyDescent="0.35">
      <c r="B124" t="s">
        <v>0</v>
      </c>
      <c r="C124" s="21">
        <v>32</v>
      </c>
      <c r="D124" s="6">
        <f>C124/SUM(C124:C127)</f>
        <v>0.40251572327044016</v>
      </c>
      <c r="E124" s="26">
        <v>19</v>
      </c>
      <c r="F124" s="8">
        <f>1/E123*E124</f>
        <v>0.27536231884057971</v>
      </c>
      <c r="G124" s="30">
        <f>E124/$C124/$C$2</f>
        <v>0.24739583333333334</v>
      </c>
      <c r="H124" s="26">
        <v>43</v>
      </c>
      <c r="I124" s="8">
        <f>1/H123*H124</f>
        <v>0.29655172413793102</v>
      </c>
      <c r="J124" s="25">
        <f>H124/$C124/$C$2</f>
        <v>0.55989583333333337</v>
      </c>
      <c r="K124" s="26">
        <v>66</v>
      </c>
      <c r="L124" s="8">
        <f>1/K123*K124</f>
        <v>0.28695652173913044</v>
      </c>
      <c r="M124" s="25">
        <f>K124/$C124/$C$2</f>
        <v>0.859375</v>
      </c>
      <c r="N124" s="26">
        <v>88</v>
      </c>
      <c r="O124" s="8">
        <f>1/N123*N124</f>
        <v>0.29042904290429045</v>
      </c>
      <c r="P124" s="25">
        <f>N124/$C124/$C$2</f>
        <v>1.1458333333333335</v>
      </c>
      <c r="T124" s="87"/>
      <c r="U124" s="1" t="s">
        <v>6</v>
      </c>
    </row>
    <row r="125" spans="2:24" ht="15" outlineLevel="1" thickBot="1" x14ac:dyDescent="0.4">
      <c r="B125" t="s">
        <v>3</v>
      </c>
      <c r="C125" s="21">
        <v>16.7</v>
      </c>
      <c r="D125" s="6">
        <f>C125/SUM(C124:C127)</f>
        <v>0.21006289308176096</v>
      </c>
      <c r="E125" s="26">
        <v>25</v>
      </c>
      <c r="F125" s="8">
        <f>1/E123*E125</f>
        <v>0.36231884057971014</v>
      </c>
      <c r="G125" s="25">
        <f>E125/$C125/$C$2</f>
        <v>0.62375249500998009</v>
      </c>
      <c r="H125" s="26">
        <v>46</v>
      </c>
      <c r="I125" s="8">
        <f>1/H123*H125</f>
        <v>0.3172413793103448</v>
      </c>
      <c r="J125" s="25">
        <f>H125/$C125/$C$2</f>
        <v>1.1477045908183634</v>
      </c>
      <c r="K125" s="26">
        <v>76</v>
      </c>
      <c r="L125" s="8">
        <f>1/K123*K125</f>
        <v>0.33043478260869563</v>
      </c>
      <c r="M125" s="25">
        <f>K125/$C125/$C$2</f>
        <v>1.8962075848303395</v>
      </c>
      <c r="N125" s="26">
        <v>99</v>
      </c>
      <c r="O125" s="8">
        <f>1/N123*N125</f>
        <v>0.32673267326732675</v>
      </c>
      <c r="P125" s="25">
        <f>N125/$C125/$C$2</f>
        <v>2.4700598802395208</v>
      </c>
      <c r="T125" s="87"/>
    </row>
    <row r="126" spans="2:24" outlineLevel="1" x14ac:dyDescent="0.35">
      <c r="B126" t="s">
        <v>11</v>
      </c>
      <c r="C126" s="21">
        <v>15.4</v>
      </c>
      <c r="D126" s="6">
        <f>C126/SUM(C124:C127)</f>
        <v>0.19371069182389933</v>
      </c>
      <c r="E126" s="26">
        <v>12</v>
      </c>
      <c r="F126" s="8">
        <f>1/E123*E126</f>
        <v>0.17391304347826086</v>
      </c>
      <c r="G126" s="25">
        <f>E126/$C126/$C$2</f>
        <v>0.32467532467532473</v>
      </c>
      <c r="H126" s="26">
        <v>26</v>
      </c>
      <c r="I126" s="8">
        <f>1/H123*H126</f>
        <v>0.1793103448275862</v>
      </c>
      <c r="J126" s="25">
        <f>H126/$C126/$C$2</f>
        <v>0.70346320346320346</v>
      </c>
      <c r="K126" s="26">
        <v>43</v>
      </c>
      <c r="L126" s="8">
        <f>1/K123*K126</f>
        <v>0.18695652173913044</v>
      </c>
      <c r="M126" s="25">
        <f>K126/$C126/$C$2</f>
        <v>1.1634199134199135</v>
      </c>
      <c r="N126" s="26">
        <v>54</v>
      </c>
      <c r="O126" s="8">
        <f>1/N123*N126</f>
        <v>0.17821782178217821</v>
      </c>
      <c r="P126" s="25">
        <f>N126/$C126/$C$2</f>
        <v>1.4610389610389611</v>
      </c>
      <c r="T126" s="87"/>
      <c r="U126" s="46">
        <f>H130</f>
        <v>35</v>
      </c>
      <c r="V126" s="40"/>
      <c r="W126" s="35" t="s">
        <v>3</v>
      </c>
      <c r="X126" s="37"/>
    </row>
    <row r="127" spans="2:24" outlineLevel="1" x14ac:dyDescent="0.35">
      <c r="B127" t="s">
        <v>5</v>
      </c>
      <c r="C127" s="21">
        <v>15.4</v>
      </c>
      <c r="D127" s="6">
        <f>C127/SUM(C124:C127)</f>
        <v>0.19371069182389933</v>
      </c>
      <c r="E127" s="26">
        <v>13</v>
      </c>
      <c r="F127" s="8">
        <f>1/E123*E127</f>
        <v>0.18840579710144928</v>
      </c>
      <c r="G127" s="25">
        <f>E127/$C127/$C$2</f>
        <v>0.35173160173160173</v>
      </c>
      <c r="H127" s="26">
        <v>30</v>
      </c>
      <c r="I127" s="8">
        <f>1/H123*H127</f>
        <v>0.20689655172413793</v>
      </c>
      <c r="J127" s="25">
        <f>H127/$C127/$C$2</f>
        <v>0.81168831168831168</v>
      </c>
      <c r="K127" s="26">
        <v>45</v>
      </c>
      <c r="L127" s="8">
        <f>1/K123*K127</f>
        <v>0.19565217391304349</v>
      </c>
      <c r="M127" s="25">
        <f>K127/$C127/$C$2</f>
        <v>1.2175324675324675</v>
      </c>
      <c r="N127" s="26">
        <v>62</v>
      </c>
      <c r="O127" s="8">
        <f>1/N123*N127</f>
        <v>0.20462046204620463</v>
      </c>
      <c r="P127" s="25">
        <f>N127/$C127/$C$2</f>
        <v>1.6774891774891776</v>
      </c>
      <c r="T127" s="87"/>
      <c r="U127" s="33" t="s">
        <v>12</v>
      </c>
      <c r="V127" t="s">
        <v>2</v>
      </c>
      <c r="W127" s="36"/>
      <c r="X127" s="44">
        <f>H125</f>
        <v>46</v>
      </c>
    </row>
    <row r="128" spans="2:24" ht="15" outlineLevel="1" thickBot="1" x14ac:dyDescent="0.4">
      <c r="C128" s="19"/>
      <c r="D128" s="19"/>
      <c r="E128" s="7"/>
      <c r="F128" s="5"/>
      <c r="G128" s="4"/>
      <c r="H128" s="7"/>
      <c r="I128" s="5"/>
      <c r="J128" s="4"/>
      <c r="K128" s="7"/>
      <c r="L128" s="5"/>
      <c r="M128" s="5"/>
      <c r="N128" s="7"/>
      <c r="O128" s="5"/>
      <c r="P128" s="4"/>
      <c r="R128" s="1"/>
      <c r="S128" s="1"/>
      <c r="U128" s="34"/>
      <c r="V128" s="45">
        <f>H132</f>
        <v>40</v>
      </c>
      <c r="W128" s="50" t="str">
        <f>IF(X127&gt;V128,"6","5")</f>
        <v>6</v>
      </c>
      <c r="X128" s="39"/>
    </row>
    <row r="129" spans="2:24" ht="15" outlineLevel="1" thickBot="1" x14ac:dyDescent="0.4">
      <c r="B129" s="9" t="s">
        <v>14</v>
      </c>
      <c r="C129" s="81"/>
      <c r="D129" s="20"/>
      <c r="E129" s="22">
        <f>SUM(E130:E132)</f>
        <v>68</v>
      </c>
      <c r="F129" s="93">
        <f>1/350*E129</f>
        <v>0.19428571428571428</v>
      </c>
      <c r="G129" s="16"/>
      <c r="H129" s="22">
        <f>SUM(H130:H132)</f>
        <v>144</v>
      </c>
      <c r="I129" s="93">
        <f>1/350*H129</f>
        <v>0.41142857142857142</v>
      </c>
      <c r="J129" s="18"/>
      <c r="K129" s="22">
        <f>SUM(K130:K132)</f>
        <v>226</v>
      </c>
      <c r="L129" s="93">
        <f>1/350*K129</f>
        <v>0.64571428571428569</v>
      </c>
      <c r="M129" s="17"/>
      <c r="N129" s="22">
        <f>SUM(N130:N132)</f>
        <v>304</v>
      </c>
      <c r="O129" s="93">
        <f>1/350*N129</f>
        <v>0.86857142857142855</v>
      </c>
      <c r="P129" s="14"/>
      <c r="U129" s="41"/>
      <c r="V129" s="47"/>
      <c r="W129" s="48"/>
      <c r="X129" s="49">
        <f>H131</f>
        <v>69</v>
      </c>
    </row>
    <row r="130" spans="2:24" outlineLevel="1" x14ac:dyDescent="0.35">
      <c r="B130" t="s">
        <v>12</v>
      </c>
      <c r="C130" s="21">
        <v>6.4</v>
      </c>
      <c r="D130" s="6">
        <f>C130/SUM(C130:C132)</f>
        <v>0.21843003412969286</v>
      </c>
      <c r="E130" s="26">
        <v>15</v>
      </c>
      <c r="F130" s="8">
        <f>1/E129*E130</f>
        <v>0.22058823529411764</v>
      </c>
      <c r="G130" s="25">
        <f>E130/$C130/$C$2</f>
        <v>0.9765625</v>
      </c>
      <c r="H130" s="26">
        <v>35</v>
      </c>
      <c r="I130" s="8">
        <f>1/H129*H130</f>
        <v>0.24305555555555555</v>
      </c>
      <c r="J130" s="25">
        <f>H130/$C130/$C$2</f>
        <v>2.2786458333333335</v>
      </c>
      <c r="K130" s="26">
        <v>56</v>
      </c>
      <c r="L130" s="8">
        <f>1/K129*K130</f>
        <v>0.24778761061946902</v>
      </c>
      <c r="M130" s="25">
        <f>K130/$C130/$C$2</f>
        <v>3.6458333333333335</v>
      </c>
      <c r="N130" s="26">
        <v>73</v>
      </c>
      <c r="O130" s="8">
        <f>1/N129*N130</f>
        <v>0.24013157894736842</v>
      </c>
      <c r="P130" s="25">
        <f>N130/$C130/$C$2</f>
        <v>4.752604166666667</v>
      </c>
      <c r="U130" s="32"/>
      <c r="V130" s="32"/>
      <c r="X130" s="38"/>
    </row>
    <row r="131" spans="2:24" outlineLevel="1" x14ac:dyDescent="0.35">
      <c r="B131" t="s">
        <v>13</v>
      </c>
      <c r="C131" s="21">
        <f>48.5-32</f>
        <v>16.5</v>
      </c>
      <c r="D131" s="6">
        <f>C131/SUM(C130:C132)</f>
        <v>0.56313993174061439</v>
      </c>
      <c r="E131" s="26">
        <v>34</v>
      </c>
      <c r="F131" s="8">
        <f>1/E129*E131</f>
        <v>0.5</v>
      </c>
      <c r="G131" s="25">
        <f>E131/$C131/$C$2</f>
        <v>0.85858585858585856</v>
      </c>
      <c r="H131" s="26">
        <v>69</v>
      </c>
      <c r="I131" s="8">
        <f>1/H129*H131</f>
        <v>0.47916666666666663</v>
      </c>
      <c r="J131" s="25">
        <f>H131/$C131/$C$2</f>
        <v>1.7424242424242424</v>
      </c>
      <c r="K131" s="26">
        <v>110</v>
      </c>
      <c r="L131" s="8">
        <f>1/K129*K131</f>
        <v>0.48672566371681414</v>
      </c>
      <c r="M131" s="25">
        <f>K131/$C131/$C$2</f>
        <v>2.7777777777777781</v>
      </c>
      <c r="N131" s="26">
        <v>150</v>
      </c>
      <c r="O131" s="8">
        <f>1/N129*N131</f>
        <v>0.49342105263157893</v>
      </c>
      <c r="P131" s="25">
        <f>N131/$C131/$C$2</f>
        <v>3.7878787878787885</v>
      </c>
      <c r="U131" s="33" t="s">
        <v>11</v>
      </c>
      <c r="V131" s="33" t="s">
        <v>5</v>
      </c>
      <c r="W131" t="s">
        <v>0</v>
      </c>
      <c r="X131" s="38"/>
    </row>
    <row r="132" spans="2:24" outlineLevel="1" x14ac:dyDescent="0.35">
      <c r="B132" t="s">
        <v>2</v>
      </c>
      <c r="C132" s="21">
        <v>6.4</v>
      </c>
      <c r="D132" s="6">
        <f>C132/SUM(C130:C132)</f>
        <v>0.21843003412969286</v>
      </c>
      <c r="E132" s="26">
        <v>19</v>
      </c>
      <c r="F132" s="8">
        <f>1/E129*E132</f>
        <v>0.27941176470588236</v>
      </c>
      <c r="G132" s="25">
        <f>E132/$C132/$C$2</f>
        <v>1.2369791666666667</v>
      </c>
      <c r="H132" s="26">
        <v>40</v>
      </c>
      <c r="I132" s="8">
        <f>1/H129*H132</f>
        <v>0.27777777777777779</v>
      </c>
      <c r="J132" s="25">
        <f>H132/$C132/$C$2</f>
        <v>2.604166666666667</v>
      </c>
      <c r="K132" s="26">
        <v>60</v>
      </c>
      <c r="L132" s="8">
        <f>1/K129*K132</f>
        <v>0.26548672566371678</v>
      </c>
      <c r="M132" s="25">
        <f>K132/$C132/$C$2</f>
        <v>3.90625</v>
      </c>
      <c r="N132" s="26">
        <v>81</v>
      </c>
      <c r="O132" s="8">
        <f>1/N129*N132</f>
        <v>0.2664473684210526</v>
      </c>
      <c r="P132" s="25">
        <f>N132/$C132/$C$2</f>
        <v>5.2734375</v>
      </c>
      <c r="U132" s="33"/>
      <c r="V132" s="33"/>
      <c r="X132" s="38"/>
    </row>
    <row r="133" spans="2:24" ht="15" outlineLevel="1" thickBot="1" x14ac:dyDescent="0.4">
      <c r="C133" s="5"/>
      <c r="D133" s="5"/>
      <c r="E133" s="7"/>
      <c r="F133" s="5"/>
      <c r="G133" s="4"/>
      <c r="H133" s="7"/>
      <c r="I133" s="5"/>
      <c r="J133" s="4"/>
      <c r="K133" s="7"/>
      <c r="L133" s="5"/>
      <c r="M133" s="5"/>
      <c r="N133" s="7"/>
      <c r="O133" s="5"/>
      <c r="P133" s="4"/>
      <c r="U133" s="43">
        <f>H126</f>
        <v>26</v>
      </c>
      <c r="V133" s="43">
        <f>H127</f>
        <v>30</v>
      </c>
      <c r="W133" s="42">
        <f>H124</f>
        <v>43</v>
      </c>
      <c r="X133" s="39"/>
    </row>
    <row r="134" spans="2:24" outlineLevel="1" x14ac:dyDescent="0.35">
      <c r="B134" s="9" t="s">
        <v>26</v>
      </c>
      <c r="C134" s="17"/>
      <c r="D134" s="17"/>
      <c r="E134" s="10">
        <f>E123/E129</f>
        <v>1.0147058823529411</v>
      </c>
      <c r="F134" s="11"/>
      <c r="G134" s="12"/>
      <c r="H134" s="10">
        <f>H123/H129</f>
        <v>1.0069444444444444</v>
      </c>
      <c r="I134" s="11"/>
      <c r="J134" s="12"/>
      <c r="K134" s="10">
        <f>K123/K129</f>
        <v>1.0176991150442478</v>
      </c>
      <c r="L134" s="11"/>
      <c r="M134" s="11"/>
      <c r="N134" s="10">
        <f>N123/N129</f>
        <v>0.99671052631578949</v>
      </c>
      <c r="O134" s="13"/>
      <c r="P134" s="14"/>
    </row>
    <row r="135" spans="2:24" outlineLevel="1" x14ac:dyDescent="0.35">
      <c r="F135" s="5"/>
      <c r="G135" s="4"/>
      <c r="I135" s="5"/>
      <c r="J135" s="4"/>
      <c r="L135" s="5"/>
      <c r="M135" s="5"/>
      <c r="O135" s="5"/>
      <c r="P135" s="4"/>
    </row>
    <row r="136" spans="2:24" outlineLevel="1" x14ac:dyDescent="0.35">
      <c r="B136" s="1" t="s">
        <v>39</v>
      </c>
      <c r="F136" s="5"/>
      <c r="G136" s="4"/>
      <c r="I136" s="5"/>
      <c r="J136" s="4"/>
      <c r="L136" s="5"/>
      <c r="M136" s="5"/>
      <c r="O136" s="5"/>
      <c r="P136" s="4"/>
    </row>
    <row r="137" spans="2:24" outlineLevel="1" x14ac:dyDescent="0.35">
      <c r="B137" s="29" t="s">
        <v>142</v>
      </c>
      <c r="F137" s="5"/>
      <c r="G137" s="4"/>
      <c r="I137" s="5"/>
      <c r="J137" s="4"/>
      <c r="L137" s="5"/>
      <c r="M137" s="5"/>
      <c r="O137" s="5"/>
      <c r="P137" s="4"/>
    </row>
    <row r="138" spans="2:24" x14ac:dyDescent="0.35">
      <c r="B138" s="29" t="s">
        <v>153</v>
      </c>
    </row>
    <row r="139" spans="2:24" x14ac:dyDescent="0.35">
      <c r="B139" s="29" t="s">
        <v>143</v>
      </c>
    </row>
    <row r="140" spans="2:24" x14ac:dyDescent="0.35">
      <c r="B140" s="29" t="s">
        <v>146</v>
      </c>
    </row>
    <row r="141" spans="2:24" x14ac:dyDescent="0.35">
      <c r="B141" s="29" t="s">
        <v>145</v>
      </c>
    </row>
  </sheetData>
  <mergeCells count="26">
    <mergeCell ref="E121:G121"/>
    <mergeCell ref="H121:J121"/>
    <mergeCell ref="K121:M121"/>
    <mergeCell ref="N121:P121"/>
    <mergeCell ref="D112:E112"/>
    <mergeCell ref="E71:G71"/>
    <mergeCell ref="H71:J71"/>
    <mergeCell ref="K71:M71"/>
    <mergeCell ref="N71:P71"/>
    <mergeCell ref="U112:Z112"/>
    <mergeCell ref="K5:M5"/>
    <mergeCell ref="N5:P5"/>
    <mergeCell ref="E5:G5"/>
    <mergeCell ref="H5:J5"/>
    <mergeCell ref="E91:G91"/>
    <mergeCell ref="H91:J91"/>
    <mergeCell ref="K91:M91"/>
    <mergeCell ref="N91:P91"/>
    <mergeCell ref="E26:G26"/>
    <mergeCell ref="H26:J26"/>
    <mergeCell ref="K26:M26"/>
    <mergeCell ref="N26:P26"/>
    <mergeCell ref="E49:G49"/>
    <mergeCell ref="H49:J49"/>
    <mergeCell ref="K49:M49"/>
    <mergeCell ref="N49:P49"/>
  </mergeCells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EB53-9254-9741-9B00-3087943592CC}">
  <dimension ref="B2:C10"/>
  <sheetViews>
    <sheetView workbookViewId="0">
      <selection activeCell="C20" sqref="C20"/>
    </sheetView>
  </sheetViews>
  <sheetFormatPr baseColWidth="10" defaultRowHeight="14.5" x14ac:dyDescent="0.35"/>
  <cols>
    <col min="2" max="2" width="17.1796875" customWidth="1"/>
    <col min="3" max="3" width="12.6328125" bestFit="1" customWidth="1"/>
  </cols>
  <sheetData>
    <row r="2" spans="2:3" x14ac:dyDescent="0.35">
      <c r="B2" t="s">
        <v>64</v>
      </c>
    </row>
    <row r="3" spans="2:3" x14ac:dyDescent="0.35">
      <c r="B3" s="55" t="s">
        <v>65</v>
      </c>
      <c r="C3" s="55" t="s">
        <v>158</v>
      </c>
    </row>
    <row r="4" spans="2:3" x14ac:dyDescent="0.35">
      <c r="B4">
        <v>52.5</v>
      </c>
      <c r="C4">
        <v>13</v>
      </c>
    </row>
    <row r="5" spans="2:3" x14ac:dyDescent="0.35">
      <c r="B5">
        <v>122.5</v>
      </c>
      <c r="C5">
        <v>23</v>
      </c>
    </row>
    <row r="6" spans="2:3" x14ac:dyDescent="0.35">
      <c r="B6">
        <v>175</v>
      </c>
      <c r="C6">
        <v>47</v>
      </c>
    </row>
    <row r="7" spans="2:3" x14ac:dyDescent="0.35">
      <c r="B7">
        <v>350</v>
      </c>
      <c r="C7">
        <v>215</v>
      </c>
    </row>
    <row r="10" spans="2:3" x14ac:dyDescent="0.35">
      <c r="B10" s="24">
        <v>350</v>
      </c>
      <c r="C10" s="57">
        <f>7.8686*EXP(0.0095*B10)</f>
        <v>218.73920071971045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Vorgehen-Fragen</vt:lpstr>
      <vt:lpstr>Fakten</vt:lpstr>
      <vt:lpstr>Planungswerte</vt:lpstr>
      <vt:lpstr>Übersicht Messungen</vt:lpstr>
      <vt:lpstr>Stromverbrauch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Hauri Claudia HSLU T&amp;A</dc:creator>
  <cp:lastModifiedBy>Reto Marek</cp:lastModifiedBy>
  <dcterms:created xsi:type="dcterms:W3CDTF">2019-10-23T13:16:49Z</dcterms:created>
  <dcterms:modified xsi:type="dcterms:W3CDTF">2023-08-23T23:26:39Z</dcterms:modified>
</cp:coreProperties>
</file>