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cuments\Python Scripts\1 QuantLib\0.MyBook-QL\"/>
    </mc:Choice>
  </mc:AlternateContent>
  <xr:revisionPtr revIDLastSave="0" documentId="13_ncr:1_{95B1D467-BA5B-44F0-952C-861F739868F8}" xr6:coauthVersionLast="47" xr6:coauthVersionMax="47" xr10:uidLastSave="{00000000-0000-0000-0000-000000000000}"/>
  <bookViews>
    <workbookView xWindow="39330" yWindow="2830" windowWidth="19680" windowHeight="13750" tabRatio="828" xr2:uid="{CD4ED13A-CEB5-493D-8F1E-6C8CA74996D2}"/>
  </bookViews>
  <sheets>
    <sheet name="8.2" sheetId="46" r:id="rId1"/>
    <sheet name="8.3b" sheetId="48" r:id="rId2"/>
    <sheet name="8.3a" sheetId="47" r:id="rId3"/>
    <sheet name="8.4" sheetId="50" r:id="rId4"/>
    <sheet name="8.6" sheetId="51" r:id="rId5"/>
    <sheet name="8.7" sheetId="52" r:id="rId6"/>
  </sheets>
  <externalReferences>
    <externalReference r:id="rId7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solver_adj" localSheetId="2" hidden="1">'8.3a'!$C$2,'8.3a'!$E$2</definedName>
    <definedName name="solver_adj" localSheetId="1" hidden="1">'8.3b'!$C$2,'8.3b'!$E$2</definedName>
    <definedName name="solver_adj" localSheetId="3" hidden="1">'8.4'!$C$2,'8.4'!$E$2</definedName>
    <definedName name="solver_adj" localSheetId="5" hidden="1">'8.7'!$C$2,'8.7'!$E$2,'8.7'!$H$2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3" hidden="1">2</definedName>
    <definedName name="solver_drv" localSheetId="5" hidden="1">2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5" hidden="1">3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5" hidden="1">2147483647</definedName>
    <definedName name="solver_lhs1" localSheetId="5" hidden="1">'8.7'!$C$2</definedName>
    <definedName name="solver_lhs2" localSheetId="5" hidden="1">'8.7'!$C$2</definedName>
    <definedName name="solver_lhs3" localSheetId="5" hidden="1">'8.7'!$E$2</definedName>
    <definedName name="solver_lhs4" localSheetId="5" hidden="1">'8.7'!$E$2</definedName>
    <definedName name="solver_lhs5" localSheetId="5" hidden="1">'8.7'!$H$2</definedName>
    <definedName name="solver_lhs6" localSheetId="5" hidden="1">'8.7'!$H$2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3" hidden="1">1</definedName>
    <definedName name="solver_msl" localSheetId="5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6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5" hidden="1">1</definedName>
    <definedName name="solver_opt" localSheetId="2" hidden="1">'8.3a'!$G$16</definedName>
    <definedName name="solver_opt" localSheetId="1" hidden="1">'8.3b'!$G$16</definedName>
    <definedName name="solver_opt" localSheetId="3" hidden="1">'8.4'!$H$15</definedName>
    <definedName name="solver_opt" localSheetId="4" hidden="1">'8.6'!$B$21</definedName>
    <definedName name="solver_opt" localSheetId="5" hidden="1">'8.7'!$H$25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el3" localSheetId="5" hidden="1">1</definedName>
    <definedName name="solver_rel4" localSheetId="5" hidden="1">3</definedName>
    <definedName name="solver_rel5" localSheetId="5" hidden="1">1</definedName>
    <definedName name="solver_rel6" localSheetId="5" hidden="1">3</definedName>
    <definedName name="solver_rhs1" localSheetId="5" hidden="1">10</definedName>
    <definedName name="solver_rhs2" localSheetId="5" hidden="1">0</definedName>
    <definedName name="solver_rhs3" localSheetId="5" hidden="1">1</definedName>
    <definedName name="solver_rhs4" localSheetId="5" hidden="1">-1</definedName>
    <definedName name="solver_rhs5" localSheetId="5" hidden="1">10</definedName>
    <definedName name="solver_rhs6" localSheetId="5" hidden="1">0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5" hidden="1">0.01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2" l="1"/>
  <c r="C6" i="52"/>
  <c r="D6" i="52"/>
  <c r="E6" i="52"/>
  <c r="F6" i="52"/>
  <c r="G6" i="52"/>
  <c r="H6" i="52"/>
  <c r="B8" i="52"/>
  <c r="C8" i="52"/>
  <c r="D8" i="52"/>
  <c r="E8" i="52"/>
  <c r="F8" i="52"/>
  <c r="G8" i="52"/>
  <c r="H8" i="52"/>
  <c r="B9" i="52"/>
  <c r="C9" i="52"/>
  <c r="D9" i="52"/>
  <c r="E9" i="52"/>
  <c r="F9" i="52"/>
  <c r="G9" i="52"/>
  <c r="H9" i="52"/>
  <c r="B10" i="52"/>
  <c r="B20" i="52" s="1"/>
  <c r="C10" i="52"/>
  <c r="D10" i="52"/>
  <c r="E10" i="52"/>
  <c r="F10" i="52"/>
  <c r="G10" i="52"/>
  <c r="H10" i="52"/>
  <c r="B11" i="52"/>
  <c r="C11" i="52"/>
  <c r="D11" i="52"/>
  <c r="E11" i="52"/>
  <c r="F11" i="52"/>
  <c r="G11" i="52"/>
  <c r="H11" i="52"/>
  <c r="B12" i="52"/>
  <c r="C12" i="52"/>
  <c r="D12" i="52"/>
  <c r="E12" i="52"/>
  <c r="F12" i="52"/>
  <c r="G12" i="52"/>
  <c r="H12" i="52"/>
  <c r="D15" i="52"/>
  <c r="B10" i="51"/>
  <c r="B11" i="51"/>
  <c r="B12" i="51"/>
  <c r="B18" i="51"/>
  <c r="B6" i="50"/>
  <c r="C6" i="50"/>
  <c r="D6" i="50"/>
  <c r="E6" i="50"/>
  <c r="F6" i="50"/>
  <c r="G6" i="50"/>
  <c r="H6" i="50"/>
  <c r="B7" i="50"/>
  <c r="B10" i="50" s="1"/>
  <c r="C7" i="50"/>
  <c r="D7" i="50"/>
  <c r="E7" i="50"/>
  <c r="F7" i="50"/>
  <c r="G7" i="50"/>
  <c r="H7" i="50"/>
  <c r="B8" i="50"/>
  <c r="C8" i="50"/>
  <c r="D8" i="50"/>
  <c r="E8" i="50"/>
  <c r="F8" i="50"/>
  <c r="G8" i="50"/>
  <c r="H8" i="50"/>
  <c r="B6" i="48"/>
  <c r="C6" i="48"/>
  <c r="D6" i="48"/>
  <c r="E6" i="48"/>
  <c r="F6" i="48"/>
  <c r="G6" i="48"/>
  <c r="B7" i="48"/>
  <c r="C7" i="48"/>
  <c r="D7" i="48"/>
  <c r="E7" i="48"/>
  <c r="F7" i="48"/>
  <c r="G7" i="48"/>
  <c r="B8" i="48"/>
  <c r="C8" i="48"/>
  <c r="D8" i="48"/>
  <c r="E8" i="48"/>
  <c r="F8" i="48"/>
  <c r="G8" i="48"/>
  <c r="B6" i="47"/>
  <c r="C6" i="47"/>
  <c r="D6" i="47"/>
  <c r="E6" i="47"/>
  <c r="F6" i="47"/>
  <c r="G6" i="47"/>
  <c r="B7" i="47"/>
  <c r="B10" i="47" s="1"/>
  <c r="C7" i="47"/>
  <c r="D7" i="47"/>
  <c r="E7" i="47"/>
  <c r="E10" i="47" s="1"/>
  <c r="F7" i="47"/>
  <c r="G7" i="47"/>
  <c r="B8" i="47"/>
  <c r="C8" i="47"/>
  <c r="D8" i="47"/>
  <c r="E8" i="47"/>
  <c r="F8" i="47"/>
  <c r="G8" i="47"/>
  <c r="B8" i="46"/>
  <c r="B9" i="46" s="1"/>
  <c r="C8" i="46"/>
  <c r="C9" i="46" s="1"/>
  <c r="B16" i="51" l="1"/>
  <c r="G20" i="52"/>
  <c r="F10" i="47"/>
  <c r="H10" i="50"/>
  <c r="F19" i="52"/>
  <c r="C10" i="46"/>
  <c r="B19" i="52"/>
  <c r="E19" i="52"/>
  <c r="D9" i="50"/>
  <c r="C11" i="50"/>
  <c r="B9" i="50"/>
  <c r="E18" i="52"/>
  <c r="H18" i="52"/>
  <c r="D18" i="52"/>
  <c r="G18" i="52"/>
  <c r="C10" i="50"/>
  <c r="B11" i="50"/>
  <c r="H11" i="50"/>
  <c r="G9" i="50"/>
  <c r="F10" i="48"/>
  <c r="C11" i="48"/>
  <c r="G13" i="52"/>
  <c r="G14" i="52" s="1"/>
  <c r="G15" i="52" s="1"/>
  <c r="H19" i="52"/>
  <c r="F18" i="52"/>
  <c r="D17" i="52"/>
  <c r="B16" i="52"/>
  <c r="H20" i="52"/>
  <c r="E13" i="52"/>
  <c r="E14" i="52" s="1"/>
  <c r="E15" i="52" s="1"/>
  <c r="C17" i="52"/>
  <c r="E10" i="48"/>
  <c r="B9" i="48"/>
  <c r="C9" i="47"/>
  <c r="D9" i="47"/>
  <c r="C11" i="47"/>
  <c r="G11" i="47"/>
  <c r="C10" i="47"/>
  <c r="F10" i="50"/>
  <c r="D10" i="47"/>
  <c r="B9" i="47"/>
  <c r="D10" i="48"/>
  <c r="B11" i="48"/>
  <c r="E9" i="50"/>
  <c r="D11" i="50"/>
  <c r="C9" i="50"/>
  <c r="F20" i="52"/>
  <c r="E11" i="50"/>
  <c r="G9" i="48"/>
  <c r="E20" i="52"/>
  <c r="E17" i="52"/>
  <c r="D16" i="52"/>
  <c r="C13" i="52"/>
  <c r="C14" i="52" s="1"/>
  <c r="C15" i="52" s="1"/>
  <c r="G17" i="52"/>
  <c r="F9" i="48"/>
  <c r="C16" i="52"/>
  <c r="B13" i="52"/>
  <c r="B14" i="52" s="1"/>
  <c r="B15" i="52" s="1"/>
  <c r="D11" i="47"/>
  <c r="H9" i="50"/>
  <c r="B17" i="51"/>
  <c r="B11" i="47"/>
  <c r="F9" i="47"/>
  <c r="F11" i="48"/>
  <c r="D9" i="48"/>
  <c r="G19" i="52"/>
  <c r="H13" i="52"/>
  <c r="H14" i="52" s="1"/>
  <c r="H15" i="52" s="1"/>
  <c r="G10" i="47"/>
  <c r="E9" i="47"/>
  <c r="C9" i="48"/>
  <c r="G11" i="50"/>
  <c r="F11" i="50"/>
  <c r="G10" i="50"/>
  <c r="B13" i="51"/>
  <c r="B14" i="51" s="1"/>
  <c r="B15" i="51" s="1"/>
  <c r="D19" i="52"/>
  <c r="B17" i="52"/>
  <c r="F13" i="52"/>
  <c r="B10" i="46"/>
  <c r="F11" i="47"/>
  <c r="D20" i="52"/>
  <c r="C19" i="52"/>
  <c r="B18" i="52"/>
  <c r="H16" i="52"/>
  <c r="F9" i="50"/>
  <c r="E11" i="47"/>
  <c r="G11" i="48"/>
  <c r="B10" i="48"/>
  <c r="C10" i="48"/>
  <c r="E10" i="50"/>
  <c r="B20" i="51"/>
  <c r="C20" i="52"/>
  <c r="H17" i="52"/>
  <c r="G16" i="52"/>
  <c r="D13" i="52"/>
  <c r="D14" i="52" s="1"/>
  <c r="C18" i="52"/>
  <c r="D10" i="50"/>
  <c r="B19" i="51"/>
  <c r="F16" i="52"/>
  <c r="G9" i="47"/>
  <c r="D11" i="48"/>
  <c r="F17" i="52"/>
  <c r="E16" i="52"/>
  <c r="G10" i="48"/>
  <c r="E9" i="48"/>
  <c r="E11" i="48"/>
  <c r="C11" i="46"/>
  <c r="C12" i="46" s="1"/>
  <c r="B11" i="46"/>
  <c r="H12" i="50" l="1"/>
  <c r="H14" i="50" s="1"/>
  <c r="B12" i="50"/>
  <c r="B14" i="50" s="1"/>
  <c r="D21" i="52"/>
  <c r="D23" i="52" s="1"/>
  <c r="C12" i="50"/>
  <c r="C14" i="50" s="1"/>
  <c r="E12" i="50"/>
  <c r="E14" i="50" s="1"/>
  <c r="F12" i="50"/>
  <c r="F14" i="50" s="1"/>
  <c r="D12" i="50"/>
  <c r="D14" i="50" s="1"/>
  <c r="G12" i="50"/>
  <c r="G14" i="50" s="1"/>
  <c r="D12" i="48"/>
  <c r="D14" i="48" s="1"/>
  <c r="F12" i="48"/>
  <c r="F14" i="48" s="1"/>
  <c r="E12" i="48"/>
  <c r="E14" i="48" s="1"/>
  <c r="C12" i="48"/>
  <c r="C14" i="48" s="1"/>
  <c r="C21" i="52"/>
  <c r="C23" i="52" s="1"/>
  <c r="G12" i="48"/>
  <c r="G14" i="48" s="1"/>
  <c r="B12" i="47"/>
  <c r="B14" i="47" s="1"/>
  <c r="D12" i="47"/>
  <c r="D14" i="47" s="1"/>
  <c r="G12" i="47"/>
  <c r="G14" i="47" s="1"/>
  <c r="C12" i="47"/>
  <c r="C14" i="47" s="1"/>
  <c r="F12" i="47"/>
  <c r="F14" i="47" s="1"/>
  <c r="E12" i="47"/>
  <c r="E14" i="47" s="1"/>
  <c r="G21" i="52"/>
  <c r="G23" i="52" s="1"/>
  <c r="B21" i="52"/>
  <c r="B23" i="52" s="1"/>
  <c r="B21" i="51"/>
  <c r="B12" i="46"/>
  <c r="B12" i="48"/>
  <c r="B14" i="48" s="1"/>
  <c r="H21" i="52"/>
  <c r="H23" i="52" s="1"/>
  <c r="F14" i="52"/>
  <c r="F15" i="52" s="1"/>
  <c r="F21" i="52" s="1"/>
  <c r="F23" i="52" s="1"/>
  <c r="E21" i="52"/>
  <c r="E23" i="52" s="1"/>
  <c r="H15" i="50" l="1"/>
  <c r="H16" i="50" s="1"/>
  <c r="H24" i="52"/>
  <c r="H25" i="52" s="1"/>
  <c r="G15" i="48"/>
  <c r="G16" i="48" s="1"/>
  <c r="G15" i="47"/>
  <c r="G16" i="47" s="1"/>
</calcChain>
</file>

<file path=xl/sharedStrings.xml><?xml version="1.0" encoding="utf-8"?>
<sst xmlns="http://schemas.openxmlformats.org/spreadsheetml/2006/main" count="158" uniqueCount="105">
  <si>
    <t>=C9*(1+C10+C11)</t>
    <phoneticPr fontId="27"/>
  </si>
  <si>
    <t>Black Vol</t>
    <phoneticPr fontId="27"/>
  </si>
  <si>
    <t>=(1-C7)^2/24*(C6^2*C5)/C8^(2-2*C7)</t>
    <phoneticPr fontId="27"/>
  </si>
  <si>
    <t>3項目</t>
    <rPh sb="1" eb="2">
      <t>コウ</t>
    </rPh>
    <rPh sb="2" eb="3">
      <t>メ</t>
    </rPh>
    <phoneticPr fontId="27"/>
  </si>
  <si>
    <t>=(1-C7)*(2+C7)/24*((C4-C3)/C8)^2</t>
    <phoneticPr fontId="27"/>
  </si>
  <si>
    <t>2項目</t>
    <rPh sb="1" eb="2">
      <t>コウ</t>
    </rPh>
    <rPh sb="2" eb="3">
      <t>メ</t>
    </rPh>
    <phoneticPr fontId="27"/>
  </si>
  <si>
    <t>=C6/C8^(1-C7)</t>
    <phoneticPr fontId="27"/>
  </si>
  <si>
    <t>1項目</t>
    <rPh sb="1" eb="2">
      <t>コウ</t>
    </rPh>
    <rPh sb="2" eb="3">
      <t>メ</t>
    </rPh>
    <phoneticPr fontId="27"/>
  </si>
  <si>
    <t>=(C4+C3)/2</t>
    <phoneticPr fontId="27"/>
  </si>
  <si>
    <t>Fk</t>
    <phoneticPr fontId="27"/>
  </si>
  <si>
    <t>キャリブレーションで求める</t>
    <rPh sb="10" eb="11">
      <t>モト</t>
    </rPh>
    <phoneticPr fontId="26"/>
  </si>
  <si>
    <t>β</t>
    <phoneticPr fontId="27"/>
  </si>
  <si>
    <r>
      <t>満期:</t>
    </r>
    <r>
      <rPr>
        <sz val="10"/>
        <color theme="1"/>
        <rFont val="Arial Unicode MS"/>
        <family val="2"/>
        <charset val="128"/>
      </rPr>
      <t xml:space="preserve"> </t>
    </r>
    <r>
      <rPr>
        <sz val="10"/>
        <color theme="1"/>
        <rFont val="Arial Unicode MS"/>
        <family val="2"/>
        <charset val="128"/>
      </rPr>
      <t>T</t>
    </r>
    <rPh sb="0" eb="2">
      <t>マンキ</t>
    </rPh>
    <phoneticPr fontId="27"/>
  </si>
  <si>
    <t>ATM: Fo</t>
    <phoneticPr fontId="27"/>
  </si>
  <si>
    <t xml:space="preserve">   C列計算式</t>
    <rPh sb="4" eb="5">
      <t>レツ</t>
    </rPh>
    <rPh sb="5" eb="7">
      <t>ケイサン</t>
    </rPh>
    <rPh sb="7" eb="8">
      <t>シキ</t>
    </rPh>
    <phoneticPr fontId="27"/>
  </si>
  <si>
    <t>行使価格:K</t>
    <rPh sb="0" eb="2">
      <t>コウシ</t>
    </rPh>
    <rPh sb="2" eb="4">
      <t>カカク</t>
    </rPh>
    <phoneticPr fontId="27"/>
  </si>
  <si>
    <t>CEVモデルのBlackボラティリティ</t>
    <phoneticPr fontId="27"/>
  </si>
  <si>
    <t>差の２乗</t>
    <rPh sb="0" eb="1">
      <t>サ</t>
    </rPh>
    <rPh sb="3" eb="4">
      <t>ジョウ</t>
    </rPh>
    <phoneticPr fontId="26"/>
  </si>
  <si>
    <r>
      <t>m</t>
    </r>
    <r>
      <rPr>
        <sz val="10"/>
        <color theme="1"/>
        <rFont val="Arial Unicode MS"/>
        <family val="2"/>
        <charset val="128"/>
      </rPr>
      <t>arket Vol</t>
    </r>
    <phoneticPr fontId="26"/>
  </si>
  <si>
    <t>Black Vol</t>
    <phoneticPr fontId="27"/>
  </si>
  <si>
    <t>Fk</t>
    <phoneticPr fontId="27"/>
  </si>
  <si>
    <t>=$E$2</t>
    <phoneticPr fontId="26"/>
  </si>
  <si>
    <t>β</t>
    <phoneticPr fontId="27"/>
  </si>
  <si>
    <t>=$C$2</t>
    <phoneticPr fontId="26"/>
  </si>
  <si>
    <t>ATM: Fo</t>
    <phoneticPr fontId="27"/>
  </si>
  <si>
    <t xml:space="preserve">   G列計算式</t>
    <rPh sb="4" eb="5">
      <t>レツ</t>
    </rPh>
    <rPh sb="5" eb="7">
      <t>ケイサン</t>
    </rPh>
    <rPh sb="7" eb="8">
      <t>シキ</t>
    </rPh>
    <phoneticPr fontId="27"/>
  </si>
  <si>
    <t>(前図からの変更点)</t>
    <rPh sb="1" eb="2">
      <t>マエ</t>
    </rPh>
    <rPh sb="2" eb="3">
      <t>ズ</t>
    </rPh>
    <rPh sb="6" eb="8">
      <t>ヘンコウ</t>
    </rPh>
    <rPh sb="8" eb="9">
      <t>テン</t>
    </rPh>
    <phoneticPr fontId="27"/>
  </si>
  <si>
    <t>β＝</t>
    <phoneticPr fontId="26"/>
  </si>
  <si>
    <t>α＝</t>
    <phoneticPr fontId="26"/>
  </si>
  <si>
    <t>CEVのα βのキャリブレーション</t>
    <phoneticPr fontId="27"/>
  </si>
  <si>
    <t>β</t>
    <phoneticPr fontId="27"/>
  </si>
  <si>
    <t>=$C$2</t>
    <phoneticPr fontId="26"/>
  </si>
  <si>
    <t>ATM: Fo</t>
    <phoneticPr fontId="27"/>
  </si>
  <si>
    <t>β＝</t>
    <phoneticPr fontId="26"/>
  </si>
  <si>
    <t>α＝</t>
    <phoneticPr fontId="26"/>
  </si>
  <si>
    <t>CEVのα βのキャリブレーション</t>
    <phoneticPr fontId="27"/>
  </si>
  <si>
    <t>Black76 Vol</t>
    <phoneticPr fontId="27"/>
  </si>
  <si>
    <t>fk</t>
    <phoneticPr fontId="27"/>
  </si>
  <si>
    <t>β</t>
    <phoneticPr fontId="27"/>
  </si>
  <si>
    <t>=$C$2</t>
    <phoneticPr fontId="26"/>
  </si>
  <si>
    <t>CEV Vol : α</t>
    <phoneticPr fontId="27"/>
  </si>
  <si>
    <t>T</t>
    <phoneticPr fontId="27"/>
  </si>
  <si>
    <t>ATM: Fo</t>
    <phoneticPr fontId="27"/>
  </si>
  <si>
    <t xml:space="preserve">   H列計算式</t>
    <rPh sb="4" eb="5">
      <t>レツ</t>
    </rPh>
    <rPh sb="5" eb="7">
      <t>ケイサン</t>
    </rPh>
    <rPh sb="7" eb="8">
      <t>シキ</t>
    </rPh>
    <phoneticPr fontId="27"/>
  </si>
  <si>
    <t>β＝</t>
    <phoneticPr fontId="26"/>
  </si>
  <si>
    <t>α＝</t>
    <phoneticPr fontId="26"/>
  </si>
  <si>
    <t>CEVのα βのキャリブレーション</t>
    <phoneticPr fontId="27"/>
  </si>
  <si>
    <t>=B6*(1+(B16+B17+B18)*B5) / (B19*B20) * B15</t>
    <phoneticPr fontId="27"/>
  </si>
  <si>
    <t>Black Vol</t>
    <phoneticPr fontId="27"/>
  </si>
  <si>
    <t>= 1+B10^2/24 * B12^2 + B10^4/1920 * B12^ 4</t>
    <phoneticPr fontId="26"/>
  </si>
  <si>
    <r>
      <t xml:space="preserve">分母 </t>
    </r>
    <r>
      <rPr>
        <sz val="10"/>
        <color theme="1"/>
        <rFont val="Arial Unicode MS"/>
        <family val="2"/>
        <charset val="128"/>
      </rPr>
      <t>3</t>
    </r>
    <r>
      <rPr>
        <sz val="10"/>
        <color theme="1"/>
        <rFont val="Arial Unicode MS"/>
        <family val="2"/>
        <charset val="128"/>
      </rPr>
      <t>項</t>
    </r>
    <rPh sb="0" eb="2">
      <t>ブンボ</t>
    </rPh>
    <rPh sb="4" eb="5">
      <t>コウ</t>
    </rPh>
    <phoneticPr fontId="27"/>
  </si>
  <si>
    <t>=B11^ (0.5*B10)</t>
    <phoneticPr fontId="26"/>
  </si>
  <si>
    <r>
      <t xml:space="preserve">分母 </t>
    </r>
    <r>
      <rPr>
        <sz val="10"/>
        <color theme="1"/>
        <rFont val="Arial Unicode MS"/>
        <family val="2"/>
        <charset val="128"/>
      </rPr>
      <t>2</t>
    </r>
    <r>
      <rPr>
        <sz val="10"/>
        <color theme="1"/>
        <rFont val="Arial Unicode MS"/>
        <family val="2"/>
        <charset val="128"/>
      </rPr>
      <t>項</t>
    </r>
    <rPh sb="0" eb="2">
      <t>ブンボ</t>
    </rPh>
    <rPh sb="4" eb="5">
      <t>コウ</t>
    </rPh>
    <phoneticPr fontId="27"/>
  </si>
  <si>
    <t>=(2-3*B8^2)/24 * B9^2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</si>
  <si>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4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</si>
  <si>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=B6*B7*B8*B9 / (4*B11^(B10/2))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</si>
  <si>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3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</si>
  <si>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=B10^2 /24 * B6^2 / B11^B10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</si>
  <si>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2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</si>
  <si>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=IF(B3=B4,1,B13/B14)</t>
    <phoneticPr fontId="26"/>
  </si>
  <si>
    <t>z/x(z)</t>
  </si>
  <si>
    <r>
      <t>x</t>
    </r>
    <r>
      <rPr>
        <sz val="10"/>
        <color theme="1"/>
        <rFont val="Arial Unicode MS"/>
        <family val="2"/>
        <charset val="128"/>
      </rPr>
      <t>(z)</t>
    </r>
    <phoneticPr fontId="26"/>
  </si>
  <si>
    <t>= B9/B6 * B11^ (0.5 * B10) * B12</t>
    <phoneticPr fontId="26"/>
  </si>
  <si>
    <t>z</t>
    <phoneticPr fontId="26"/>
  </si>
  <si>
    <t>=LN(B4/B3)</t>
    <phoneticPr fontId="26"/>
  </si>
  <si>
    <t>ln(F/K)</t>
    <phoneticPr fontId="26"/>
  </si>
  <si>
    <t>=B4*B3</t>
    <phoneticPr fontId="26"/>
  </si>
  <si>
    <t>F K</t>
    <phoneticPr fontId="26"/>
  </si>
  <si>
    <t>=1-B7</t>
    <phoneticPr fontId="26"/>
  </si>
  <si>
    <t>1-β</t>
    <phoneticPr fontId="26"/>
  </si>
  <si>
    <r>
      <t>v</t>
    </r>
    <r>
      <rPr>
        <sz val="10"/>
        <color theme="1"/>
        <rFont val="Arial Unicode MS"/>
        <family val="2"/>
        <charset val="128"/>
      </rPr>
      <t>olvol</t>
    </r>
    <phoneticPr fontId="26"/>
  </si>
  <si>
    <t>ρ</t>
    <phoneticPr fontId="26"/>
  </si>
  <si>
    <t>固定値</t>
    <rPh sb="0" eb="3">
      <t>コテイチ</t>
    </rPh>
    <phoneticPr fontId="26"/>
  </si>
  <si>
    <t>β</t>
    <phoneticPr fontId="27"/>
  </si>
  <si>
    <t>α</t>
    <phoneticPr fontId="27"/>
  </si>
  <si>
    <t>T</t>
    <phoneticPr fontId="27"/>
  </si>
  <si>
    <t>ATM: Fo</t>
    <phoneticPr fontId="27"/>
  </si>
  <si>
    <t xml:space="preserve">   B列計算式</t>
    <rPh sb="4" eb="5">
      <t>レツ</t>
    </rPh>
    <rPh sb="5" eb="7">
      <t>ケイサン</t>
    </rPh>
    <rPh sb="7" eb="8">
      <t>シキ</t>
    </rPh>
    <phoneticPr fontId="27"/>
  </si>
  <si>
    <t>SABRモデルのBlackボラティリティ計算</t>
    <rPh sb="20" eb="22">
      <t>ケイサン</t>
    </rPh>
    <phoneticPr fontId="27"/>
  </si>
  <si>
    <r>
      <t>x</t>
    </r>
    <r>
      <rPr>
        <sz val="10"/>
        <color theme="1"/>
        <rFont val="Arial Unicode MS"/>
        <family val="2"/>
        <charset val="128"/>
      </rPr>
      <t>(z)</t>
    </r>
    <phoneticPr fontId="26"/>
  </si>
  <si>
    <t>z</t>
    <phoneticPr fontId="26"/>
  </si>
  <si>
    <t>ln(F/K)</t>
    <phoneticPr fontId="26"/>
  </si>
  <si>
    <t>F K</t>
    <phoneticPr fontId="26"/>
  </si>
  <si>
    <t>1-β</t>
    <phoneticPr fontId="26"/>
  </si>
  <si>
    <r>
      <t>v</t>
    </r>
    <r>
      <rPr>
        <sz val="10"/>
        <color theme="1"/>
        <rFont val="Arial Unicode MS"/>
        <family val="2"/>
        <charset val="128"/>
      </rPr>
      <t>olvol</t>
    </r>
    <phoneticPr fontId="26"/>
  </si>
  <si>
    <t>ρ</t>
    <phoneticPr fontId="26"/>
  </si>
  <si>
    <t>α</t>
    <phoneticPr fontId="27"/>
  </si>
  <si>
    <t>volvol＝</t>
  </si>
  <si>
    <t>ρ＝</t>
  </si>
  <si>
    <t>SABRモデル α ρ volvolのキャリブレーション</t>
    <phoneticPr fontId="26"/>
  </si>
  <si>
    <t>=(G13-G12)^2</t>
    <phoneticPr fontId="26"/>
  </si>
  <si>
    <t>平均2乗誤差(MSE)</t>
    <rPh sb="0" eb="2">
      <t>ヘイキン</t>
    </rPh>
    <rPh sb="3" eb="4">
      <t>ジョウ</t>
    </rPh>
    <rPh sb="4" eb="6">
      <t>ゴサ</t>
    </rPh>
    <phoneticPr fontId="26"/>
  </si>
  <si>
    <t>=(H13-H12)^2</t>
    <phoneticPr fontId="26"/>
  </si>
  <si>
    <t>=SUM(B14:H14)/7</t>
    <phoneticPr fontId="26"/>
  </si>
  <si>
    <t>=H15^0.5</t>
    <phoneticPr fontId="26"/>
  </si>
  <si>
    <t>=SUM(B14:G14)/6</t>
    <phoneticPr fontId="26"/>
  </si>
  <si>
    <t>=G15^0.5</t>
    <phoneticPr fontId="26"/>
  </si>
  <si>
    <t>=(H22-H21)^2</t>
    <phoneticPr fontId="26"/>
  </si>
  <si>
    <t>=SUM(B23:H23)/7</t>
    <phoneticPr fontId="26"/>
  </si>
  <si>
    <t>=H24^0.5</t>
    <phoneticPr fontId="26"/>
  </si>
  <si>
    <t>2乗平均平方根誤差(RMSE)</t>
    <rPh sb="1" eb="2">
      <t>ジョウ</t>
    </rPh>
    <rPh sb="4" eb="7">
      <t>ヘイホウコン</t>
    </rPh>
    <rPh sb="7" eb="9">
      <t>ゴサ</t>
    </rPh>
    <phoneticPr fontId="26"/>
  </si>
  <si>
    <t>満期: T</t>
    <rPh sb="0" eb="2">
      <t>マンキ</t>
    </rPh>
    <phoneticPr fontId="27"/>
  </si>
  <si>
    <t>CEV Vol:α</t>
    <phoneticPr fontId="27"/>
  </si>
  <si>
    <t>=LN(((1-2*B8*B13+B13^2)^0.5+B13-B8)/(1-B8))</t>
    <phoneticPr fontId="26"/>
  </si>
  <si>
    <t>β(固定)</t>
    <rPh sb="2" eb="4">
      <t>コテイ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</si>
</sst>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%"/>
    <numFmt numFmtId="177" formatCode="0.000_ "/>
    <numFmt numFmtId="178" formatCode="0.0000"/>
    <numFmt numFmtId="179" formatCode="0.00000"/>
    <numFmt numFmtId="180" formatCode="0.000"/>
  </numFmts>
  <fonts count="3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theme="1"/>
      <name val="Arial Unicode MS"/>
      <family val="2"/>
      <charset val="128"/>
    </font>
    <font>
      <sz val="10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Arial Unicode MS"/>
      <family val="2"/>
      <charset val="128"/>
    </font>
    <font>
      <sz val="8"/>
      <color theme="1"/>
      <name val="Arial Unicode MS"/>
      <family val="2"/>
      <charset val="128"/>
    </font>
    <font>
      <b/>
      <sz val="10"/>
      <color theme="1"/>
      <name val="Arial Unicode MS"/>
      <family val="3"/>
      <charset val="128"/>
    </font>
    <font>
      <b/>
      <u/>
      <sz val="10"/>
      <color theme="1"/>
      <name val="Arial Unicode MS"/>
      <family val="3"/>
      <charset val="128"/>
    </font>
    <font>
      <sz val="10"/>
      <color theme="1"/>
      <name val="Arial Unicode MS"/>
      <family val="3"/>
      <charset val="128"/>
    </font>
    <font>
      <b/>
      <sz val="11"/>
      <color theme="1"/>
      <name val="Arial Unicode MS"/>
      <charset val="128"/>
    </font>
    <font>
      <sz val="11"/>
      <color theme="1"/>
      <name val="Arial Unicode MS"/>
      <family val="3"/>
      <charset val="128"/>
    </font>
    <font>
      <b/>
      <sz val="8"/>
      <color theme="1"/>
      <name val="Arial Unicode MS"/>
      <family val="3"/>
      <charset val="128"/>
    </font>
    <font>
      <b/>
      <sz val="11"/>
      <color indexed="9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6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4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9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3" fillId="0" borderId="0"/>
    <xf numFmtId="40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5" fillId="25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9" fillId="0" borderId="0" xfId="56">
      <alignment vertical="center"/>
    </xf>
    <xf numFmtId="179" fontId="9" fillId="0" borderId="2" xfId="56" applyNumberFormat="1" applyBorder="1" applyAlignment="1"/>
    <xf numFmtId="0" fontId="9" fillId="0" borderId="2" xfId="56" applyBorder="1" applyAlignment="1"/>
    <xf numFmtId="179" fontId="9" fillId="0" borderId="0" xfId="56" applyNumberFormat="1">
      <alignment vertical="center"/>
    </xf>
    <xf numFmtId="179" fontId="9" fillId="0" borderId="0" xfId="56" applyNumberFormat="1" applyAlignment="1"/>
    <xf numFmtId="0" fontId="9" fillId="0" borderId="0" xfId="56" applyAlignment="1"/>
    <xf numFmtId="0" fontId="9" fillId="2" borderId="1" xfId="56" applyFill="1" applyBorder="1">
      <alignment vertical="center"/>
    </xf>
    <xf numFmtId="0" fontId="29" fillId="0" borderId="0" xfId="56" applyFont="1">
      <alignment vertical="center"/>
    </xf>
    <xf numFmtId="179" fontId="9" fillId="0" borderId="2" xfId="56" applyNumberFormat="1" applyBorder="1">
      <alignment vertical="center"/>
    </xf>
    <xf numFmtId="0" fontId="9" fillId="0" borderId="2" xfId="56" applyBorder="1" applyAlignment="1">
      <alignment horizontal="right" vertical="center"/>
    </xf>
    <xf numFmtId="0" fontId="9" fillId="0" borderId="2" xfId="56" applyBorder="1">
      <alignment vertical="center"/>
    </xf>
    <xf numFmtId="0" fontId="28" fillId="0" borderId="0" xfId="56" applyFont="1" applyAlignment="1"/>
    <xf numFmtId="178" fontId="30" fillId="0" borderId="0" xfId="56" applyNumberFormat="1" applyFont="1" applyAlignment="1">
      <alignment horizontal="left" vertical="center"/>
    </xf>
    <xf numFmtId="0" fontId="29" fillId="0" borderId="0" xfId="56" applyFont="1" applyAlignment="1">
      <alignment horizontal="right" vertical="center"/>
    </xf>
    <xf numFmtId="0" fontId="9" fillId="0" borderId="0" xfId="56" applyAlignment="1">
      <alignment horizontal="right" vertical="center"/>
    </xf>
    <xf numFmtId="179" fontId="9" fillId="0" borderId="1" xfId="56" applyNumberFormat="1" applyBorder="1">
      <alignment vertical="center"/>
    </xf>
    <xf numFmtId="180" fontId="9" fillId="0" borderId="0" xfId="56" applyNumberFormat="1">
      <alignment vertical="center"/>
    </xf>
    <xf numFmtId="180" fontId="9" fillId="0" borderId="0" xfId="56" applyNumberFormat="1" applyAlignment="1"/>
    <xf numFmtId="0" fontId="9" fillId="0" borderId="1" xfId="56" applyBorder="1">
      <alignment vertical="center"/>
    </xf>
    <xf numFmtId="0" fontId="9" fillId="2" borderId="0" xfId="56" applyFill="1">
      <alignment vertical="center"/>
    </xf>
    <xf numFmtId="179" fontId="9" fillId="2" borderId="0" xfId="56" applyNumberFormat="1" applyFill="1">
      <alignment vertical="center"/>
    </xf>
    <xf numFmtId="176" fontId="9" fillId="2" borderId="1" xfId="63" applyNumberFormat="1" applyFont="1" applyFill="1" applyBorder="1">
      <alignment vertical="center"/>
    </xf>
    <xf numFmtId="176" fontId="9" fillId="0" borderId="0" xfId="63" applyNumberFormat="1" applyFont="1">
      <alignment vertical="center"/>
    </xf>
    <xf numFmtId="0" fontId="31" fillId="0" borderId="0" xfId="56" applyFont="1">
      <alignment vertical="center"/>
    </xf>
    <xf numFmtId="0" fontId="31" fillId="0" borderId="0" xfId="56" quotePrefix="1" applyFont="1">
      <alignment vertical="center"/>
    </xf>
    <xf numFmtId="0" fontId="31" fillId="0" borderId="1" xfId="56" applyFont="1" applyBorder="1" applyAlignment="1"/>
    <xf numFmtId="0" fontId="32" fillId="0" borderId="0" xfId="56" applyFont="1">
      <alignment vertical="center"/>
    </xf>
    <xf numFmtId="0" fontId="33" fillId="0" borderId="0" xfId="56" applyFont="1">
      <alignment vertical="center"/>
    </xf>
    <xf numFmtId="0" fontId="33" fillId="2" borderId="1" xfId="56" applyFont="1" applyFill="1" applyBorder="1">
      <alignment vertical="center"/>
    </xf>
    <xf numFmtId="0" fontId="33" fillId="0" borderId="0" xfId="56" applyFont="1" applyAlignment="1"/>
    <xf numFmtId="179" fontId="33" fillId="0" borderId="0" xfId="56" applyNumberFormat="1" applyFont="1" applyAlignment="1"/>
    <xf numFmtId="179" fontId="33" fillId="0" borderId="0" xfId="56" applyNumberFormat="1" applyFont="1">
      <alignment vertical="center"/>
    </xf>
    <xf numFmtId="0" fontId="33" fillId="0" borderId="2" xfId="56" applyFont="1" applyBorder="1" applyAlignment="1"/>
    <xf numFmtId="179" fontId="33" fillId="0" borderId="2" xfId="56" applyNumberFormat="1" applyFont="1" applyBorder="1" applyAlignment="1"/>
    <xf numFmtId="0" fontId="31" fillId="0" borderId="0" xfId="56" quotePrefix="1" applyFont="1" applyAlignment="1"/>
    <xf numFmtId="0" fontId="31" fillId="0" borderId="2" xfId="56" quotePrefix="1" applyFont="1" applyBorder="1">
      <alignment vertical="center"/>
    </xf>
    <xf numFmtId="0" fontId="34" fillId="0" borderId="0" xfId="56" applyFont="1" applyAlignment="1"/>
    <xf numFmtId="0" fontId="34" fillId="0" borderId="1" xfId="56" applyFont="1" applyBorder="1" applyAlignment="1"/>
    <xf numFmtId="0" fontId="34" fillId="0" borderId="0" xfId="56" applyFont="1">
      <alignment vertical="center"/>
    </xf>
    <xf numFmtId="0" fontId="34" fillId="0" borderId="0" xfId="56" quotePrefix="1" applyFont="1">
      <alignment vertical="center"/>
    </xf>
    <xf numFmtId="177" fontId="34" fillId="0" borderId="0" xfId="56" quotePrefix="1" applyNumberFormat="1" applyFont="1" applyAlignment="1"/>
    <xf numFmtId="0" fontId="34" fillId="0" borderId="2" xfId="56" quotePrefix="1" applyFont="1" applyBorder="1">
      <alignment vertical="center"/>
    </xf>
    <xf numFmtId="0" fontId="29" fillId="0" borderId="0" xfId="56" quotePrefix="1" applyFont="1">
      <alignment vertical="center"/>
    </xf>
    <xf numFmtId="180" fontId="9" fillId="2" borderId="0" xfId="56" applyNumberFormat="1" applyFill="1">
      <alignment vertical="center"/>
    </xf>
  </cellXfs>
  <cellStyles count="66">
    <cellStyle name="20% - アクセント 1" xfId="4" xr:uid="{00000000-0005-0000-0000-000000000000}"/>
    <cellStyle name="20% - アクセント 2" xfId="5" xr:uid="{00000000-0005-0000-0000-000001000000}"/>
    <cellStyle name="20% - アクセント 3" xfId="6" xr:uid="{00000000-0005-0000-0000-000002000000}"/>
    <cellStyle name="20% - アクセント 4" xfId="7" xr:uid="{00000000-0005-0000-0000-000003000000}"/>
    <cellStyle name="20% - アクセント 5" xfId="8" xr:uid="{00000000-0005-0000-0000-000004000000}"/>
    <cellStyle name="20% - アクセント 6" xfId="9" xr:uid="{00000000-0005-0000-0000-000005000000}"/>
    <cellStyle name="40% - アクセント 1" xfId="10" xr:uid="{00000000-0005-0000-0000-000006000000}"/>
    <cellStyle name="40% - アクセント 2" xfId="11" xr:uid="{00000000-0005-0000-0000-000007000000}"/>
    <cellStyle name="40% - アクセント 3" xfId="12" xr:uid="{00000000-0005-0000-0000-000008000000}"/>
    <cellStyle name="40% - アクセント 4" xfId="13" xr:uid="{00000000-0005-0000-0000-000009000000}"/>
    <cellStyle name="40% - アクセント 5" xfId="14" xr:uid="{00000000-0005-0000-0000-00000A000000}"/>
    <cellStyle name="40% - アクセント 6" xfId="15" xr:uid="{00000000-0005-0000-0000-00000B000000}"/>
    <cellStyle name="60% - アクセント 1" xfId="16" xr:uid="{00000000-0005-0000-0000-00000C000000}"/>
    <cellStyle name="60% - アクセント 2" xfId="17" xr:uid="{00000000-0005-0000-0000-00000D000000}"/>
    <cellStyle name="60% - アクセント 3" xfId="18" xr:uid="{00000000-0005-0000-0000-00000E000000}"/>
    <cellStyle name="60% - アクセント 4" xfId="19" xr:uid="{00000000-0005-0000-0000-00000F000000}"/>
    <cellStyle name="60% - アクセント 5" xfId="20" xr:uid="{00000000-0005-0000-0000-000010000000}"/>
    <cellStyle name="60% - アクセント 6" xfId="21" xr:uid="{00000000-0005-0000-0000-000011000000}"/>
    <cellStyle name="blp_column_header" xfId="64" xr:uid="{2C48E934-E861-4786-8D96-128FE9063EBC}"/>
    <cellStyle name="Comma [0] 2" xfId="22" xr:uid="{00000000-0005-0000-0000-000012000000}"/>
    <cellStyle name="Comma [0] 2 2" xfId="62" xr:uid="{00000000-0005-0000-0000-000013000000}"/>
    <cellStyle name="Normal 2" xfId="3" xr:uid="{00000000-0005-0000-0000-000014000000}"/>
    <cellStyle name="Normal 2 2" xfId="61" xr:uid="{00000000-0005-0000-0000-000015000000}"/>
    <cellStyle name="Normal 3" xfId="23" xr:uid="{00000000-0005-0000-0000-000016000000}"/>
    <cellStyle name="Normal 3 2" xfId="24" xr:uid="{00000000-0005-0000-0000-000017000000}"/>
    <cellStyle name="Percent 2" xfId="25" xr:uid="{00000000-0005-0000-0000-000018000000}"/>
    <cellStyle name="Percent 2 2" xfId="26" xr:uid="{00000000-0005-0000-0000-000019000000}"/>
    <cellStyle name="アクセント 1" xfId="27" xr:uid="{00000000-0005-0000-0000-00001A000000}"/>
    <cellStyle name="アクセント 2" xfId="28" xr:uid="{00000000-0005-0000-0000-00001B000000}"/>
    <cellStyle name="アクセント 3" xfId="29" xr:uid="{00000000-0005-0000-0000-00001C000000}"/>
    <cellStyle name="アクセント 4" xfId="30" xr:uid="{00000000-0005-0000-0000-00001D000000}"/>
    <cellStyle name="アクセント 5" xfId="31" xr:uid="{00000000-0005-0000-0000-00001E000000}"/>
    <cellStyle name="アクセント 6" xfId="32" xr:uid="{00000000-0005-0000-0000-00001F000000}"/>
    <cellStyle name="タイトル" xfId="33" xr:uid="{00000000-0005-0000-0000-000020000000}"/>
    <cellStyle name="チェック セル" xfId="34" xr:uid="{00000000-0005-0000-0000-000021000000}"/>
    <cellStyle name="どちらでもない" xfId="35" xr:uid="{00000000-0005-0000-0000-000022000000}"/>
    <cellStyle name="パーセント" xfId="63" builtinId="5"/>
    <cellStyle name="パーセント 2" xfId="2" xr:uid="{00000000-0005-0000-0000-000023000000}"/>
    <cellStyle name="パーセント 3" xfId="55" xr:uid="{00000000-0005-0000-0000-000024000000}"/>
    <cellStyle name="パーセント 4" xfId="60" xr:uid="{00000000-0005-0000-0000-000025000000}"/>
    <cellStyle name="メモ" xfId="36" xr:uid="{00000000-0005-0000-0000-000026000000}"/>
    <cellStyle name="リンク セル" xfId="37" xr:uid="{00000000-0005-0000-0000-000027000000}"/>
    <cellStyle name="悪い" xfId="38" xr:uid="{00000000-0005-0000-0000-000028000000}"/>
    <cellStyle name="計算" xfId="39" xr:uid="{00000000-0005-0000-0000-000029000000}"/>
    <cellStyle name="警告文" xfId="40" xr:uid="{00000000-0005-0000-0000-00002A000000}"/>
    <cellStyle name="桁区切り [0.00] 2" xfId="52" xr:uid="{00000000-0005-0000-0000-00002B000000}"/>
    <cellStyle name="桁区切り 2" xfId="1" xr:uid="{00000000-0005-0000-0000-00002C000000}"/>
    <cellStyle name="桁区切り 3" xfId="54" xr:uid="{00000000-0005-0000-0000-00002D000000}"/>
    <cellStyle name="見出し 1" xfId="41" xr:uid="{00000000-0005-0000-0000-00002E000000}"/>
    <cellStyle name="見出し 2" xfId="42" xr:uid="{00000000-0005-0000-0000-00002F000000}"/>
    <cellStyle name="見出し 3" xfId="43" xr:uid="{00000000-0005-0000-0000-000030000000}"/>
    <cellStyle name="見出し 4" xfId="44" xr:uid="{00000000-0005-0000-0000-000031000000}"/>
    <cellStyle name="集計" xfId="45" xr:uid="{00000000-0005-0000-0000-000032000000}"/>
    <cellStyle name="出力" xfId="46" xr:uid="{00000000-0005-0000-0000-000033000000}"/>
    <cellStyle name="説明文" xfId="47" xr:uid="{00000000-0005-0000-0000-000034000000}"/>
    <cellStyle name="入力" xfId="48" xr:uid="{00000000-0005-0000-0000-000035000000}"/>
    <cellStyle name="標準" xfId="0" builtinId="0"/>
    <cellStyle name="標準 2" xfId="49" xr:uid="{00000000-0005-0000-0000-000037000000}"/>
    <cellStyle name="標準 2 2" xfId="51" xr:uid="{00000000-0005-0000-0000-000038000000}"/>
    <cellStyle name="標準 3" xfId="53" xr:uid="{00000000-0005-0000-0000-000039000000}"/>
    <cellStyle name="標準 4" xfId="57" xr:uid="{00000000-0005-0000-0000-00003A000000}"/>
    <cellStyle name="標準 5" xfId="56" xr:uid="{00000000-0005-0000-0000-00003B000000}"/>
    <cellStyle name="標準 6" xfId="58" xr:uid="{00000000-0005-0000-0000-00003C000000}"/>
    <cellStyle name="標準 7" xfId="59" xr:uid="{00000000-0005-0000-0000-00003D000000}"/>
    <cellStyle name="標準 8" xfId="65" xr:uid="{10C7308D-8306-477B-BEEF-130369EA6426}"/>
    <cellStyle name="良い" xfId="50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BlackVol</c:v>
          </c:tx>
          <c:xVal>
            <c:numRef>
              <c:f>'8.7'!$B$3:$H$3</c:f>
              <c:numCache>
                <c:formatCode>General</c:formatCode>
                <c:ptCount val="7"/>
                <c:pt idx="0">
                  <c:v>5.9999999999999995E-4</c:v>
                </c:pt>
                <c:pt idx="1">
                  <c:v>3.0999999999999999E-3</c:v>
                </c:pt>
                <c:pt idx="2">
                  <c:v>5.5999999999999999E-3</c:v>
                </c:pt>
                <c:pt idx="3">
                  <c:v>8.0999999999999996E-3</c:v>
                </c:pt>
                <c:pt idx="4">
                  <c:v>1.06E-2</c:v>
                </c:pt>
                <c:pt idx="5">
                  <c:v>1.5599999999999999E-2</c:v>
                </c:pt>
                <c:pt idx="6">
                  <c:v>2.5600000000000001E-2</c:v>
                </c:pt>
              </c:numCache>
            </c:numRef>
          </c:xVal>
          <c:yVal>
            <c:numRef>
              <c:f>'8.7'!$B$21:$H$21</c:f>
              <c:numCache>
                <c:formatCode>0.00000</c:formatCode>
                <c:ptCount val="7"/>
                <c:pt idx="0">
                  <c:v>0.89701544251519894</c:v>
                </c:pt>
                <c:pt idx="1">
                  <c:v>0.48496876240175474</c:v>
                </c:pt>
                <c:pt idx="2">
                  <c:v>0.44908026823656932</c:v>
                </c:pt>
                <c:pt idx="3">
                  <c:v>0.48925295048408918</c:v>
                </c:pt>
                <c:pt idx="4">
                  <c:v>0.52791820137078993</c:v>
                </c:pt>
                <c:pt idx="5">
                  <c:v>0.58327134659368041</c:v>
                </c:pt>
                <c:pt idx="6">
                  <c:v>0.64643421385388733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2-4B24-9CB0-59D104EA18DE}"/>
            </c:ext>
          </c:extLst>
        </c:ser>
        <c:ser>
          <c:idx val="1"/>
          <c:order val="1"/>
          <c:tx>
            <c:v>Market</c:v>
          </c:tx>
          <c:spPr>
            <a:ln>
              <a:prstDash val="sysDash"/>
            </a:ln>
          </c:spPr>
          <c:xVal>
            <c:numRef>
              <c:f>'8.7'!$B$3:$H$3</c:f>
              <c:numCache>
                <c:formatCode>General</c:formatCode>
                <c:ptCount val="7"/>
                <c:pt idx="0">
                  <c:v>5.9999999999999995E-4</c:v>
                </c:pt>
                <c:pt idx="1">
                  <c:v>3.0999999999999999E-3</c:v>
                </c:pt>
                <c:pt idx="2">
                  <c:v>5.5999999999999999E-3</c:v>
                </c:pt>
                <c:pt idx="3">
                  <c:v>8.0999999999999996E-3</c:v>
                </c:pt>
                <c:pt idx="4">
                  <c:v>1.06E-2</c:v>
                </c:pt>
                <c:pt idx="5">
                  <c:v>1.5599999999999999E-2</c:v>
                </c:pt>
                <c:pt idx="6">
                  <c:v>2.5600000000000001E-2</c:v>
                </c:pt>
              </c:numCache>
            </c:numRef>
          </c:xVal>
          <c:yVal>
            <c:numRef>
              <c:f>'8.7'!$B$22:$H$22</c:f>
              <c:numCache>
                <c:formatCode>0.00000</c:formatCode>
                <c:ptCount val="7"/>
                <c:pt idx="0">
                  <c:v>0.90780000000000005</c:v>
                </c:pt>
                <c:pt idx="1">
                  <c:v>0.46089999999999998</c:v>
                </c:pt>
                <c:pt idx="2">
                  <c:v>0.45300000000000001</c:v>
                </c:pt>
                <c:pt idx="3">
                  <c:v>0.50170000000000003</c:v>
                </c:pt>
                <c:pt idx="4">
                  <c:v>0.53849999999999998</c:v>
                </c:pt>
                <c:pt idx="5">
                  <c:v>0.58420000000000005</c:v>
                </c:pt>
                <c:pt idx="6">
                  <c:v>0.62719999999999998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72-4B24-9CB0-59D104EA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8768"/>
        <c:axId val="129570304"/>
      </c:scatterChart>
      <c:valAx>
        <c:axId val="12956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129570304"/>
        <c:crosses val="autoZero"/>
        <c:crossBetween val="midCat"/>
      </c:valAx>
      <c:valAx>
        <c:axId val="129570304"/>
        <c:scaling>
          <c:orientation val="minMax"/>
          <c:min val="0.30000000000000004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12956876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25</xdr:row>
      <xdr:rowOff>76200</xdr:rowOff>
    </xdr:from>
    <xdr:to>
      <xdr:col>8</xdr:col>
      <xdr:colOff>23812</xdr:colOff>
      <xdr:row>39</xdr:row>
      <xdr:rowOff>152400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/>
  </sheetViews>
  <sheetFormatPr defaultColWidth="9" defaultRowHeight="13"/>
  <cols>
    <col min="1" max="1" width="12.81640625" style="28" customWidth="1"/>
    <col min="2" max="3" width="9.26953125" style="28" bestFit="1" customWidth="1"/>
    <col min="4" max="4" width="31.36328125" style="28" customWidth="1"/>
    <col min="5" max="16384" width="9" style="28"/>
  </cols>
  <sheetData>
    <row r="1" spans="1:4">
      <c r="A1" s="27" t="s">
        <v>16</v>
      </c>
    </row>
    <row r="3" spans="1:4">
      <c r="A3" s="29" t="s">
        <v>15</v>
      </c>
      <c r="B3" s="29">
        <v>0.01</v>
      </c>
      <c r="C3" s="29">
        <v>0.04</v>
      </c>
      <c r="D3" s="26" t="s">
        <v>14</v>
      </c>
    </row>
    <row r="4" spans="1:4">
      <c r="A4" s="28" t="s">
        <v>13</v>
      </c>
      <c r="B4" s="28">
        <v>5.5999999999999999E-3</v>
      </c>
      <c r="C4" s="28">
        <v>5.5999999999999999E-3</v>
      </c>
      <c r="D4" s="24"/>
    </row>
    <row r="5" spans="1:4">
      <c r="A5" s="28" t="s">
        <v>101</v>
      </c>
      <c r="B5" s="28">
        <v>2</v>
      </c>
      <c r="C5" s="28">
        <v>2</v>
      </c>
      <c r="D5" s="24"/>
    </row>
    <row r="6" spans="1:4">
      <c r="A6" s="28" t="s">
        <v>102</v>
      </c>
      <c r="B6" s="28">
        <v>2.67</v>
      </c>
      <c r="C6" s="28">
        <v>2.67</v>
      </c>
      <c r="D6" s="24" t="s">
        <v>10</v>
      </c>
    </row>
    <row r="7" spans="1:4">
      <c r="A7" s="28" t="s">
        <v>11</v>
      </c>
      <c r="B7" s="28">
        <v>1.33</v>
      </c>
      <c r="C7" s="28">
        <v>1.33</v>
      </c>
      <c r="D7" s="24" t="s">
        <v>10</v>
      </c>
    </row>
    <row r="8" spans="1:4">
      <c r="A8" s="28" t="s">
        <v>9</v>
      </c>
      <c r="B8" s="28">
        <f>(B4+B3)/2</f>
        <v>7.7999999999999996E-3</v>
      </c>
      <c r="C8" s="28">
        <f>(C4+C3)/2</f>
        <v>2.2800000000000001E-2</v>
      </c>
      <c r="D8" s="25" t="s">
        <v>8</v>
      </c>
    </row>
    <row r="9" spans="1:4" ht="15" customHeight="1">
      <c r="A9" s="30" t="s">
        <v>7</v>
      </c>
      <c r="B9" s="31">
        <f>B6/B8^(1-B7)</f>
        <v>0.53814892894233068</v>
      </c>
      <c r="C9" s="31">
        <f>C6/C8^(1-C7)</f>
        <v>0.7667075870188016</v>
      </c>
      <c r="D9" s="35" t="s">
        <v>6</v>
      </c>
    </row>
    <row r="10" spans="1:4">
      <c r="A10" s="28" t="s">
        <v>5</v>
      </c>
      <c r="B10" s="32">
        <f>(1-B7)*(2+B7)/24*((B4-B3)/B8)^2</f>
        <v>-1.4570118343195274E-2</v>
      </c>
      <c r="C10" s="32">
        <f>(1-C7)*(2+C7)/24*((C4-C3)/C8)^2</f>
        <v>-0.10423033240997231</v>
      </c>
      <c r="D10" s="25" t="s">
        <v>4</v>
      </c>
    </row>
    <row r="11" spans="1:4">
      <c r="A11" s="28" t="s">
        <v>3</v>
      </c>
      <c r="B11" s="32">
        <f>(1-B7)^2/24*(B6^2*B5)/B8^(2-2*B7)</f>
        <v>2.6281587477251338E-3</v>
      </c>
      <c r="C11" s="32">
        <f>(1-C7)^2/24*(C6^2*C5)/C8^(2-2*C7)</f>
        <v>5.3346527552291557E-3</v>
      </c>
      <c r="D11" s="25" t="s">
        <v>2</v>
      </c>
    </row>
    <row r="12" spans="1:4">
      <c r="A12" s="33" t="s">
        <v>1</v>
      </c>
      <c r="B12" s="34">
        <f>B9*(1+B10+B11)</f>
        <v>0.53172237617655582</v>
      </c>
      <c r="C12" s="34">
        <f>C9*(1+C10+C11)</f>
        <v>0.69088351910412915</v>
      </c>
      <c r="D12" s="36" t="s">
        <v>0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120" zoomScaleNormal="120" workbookViewId="0"/>
  </sheetViews>
  <sheetFormatPr defaultColWidth="9" defaultRowHeight="12"/>
  <cols>
    <col min="1" max="1" width="9.7265625" style="1" customWidth="1"/>
    <col min="2" max="2" width="7.81640625" style="1" bestFit="1" customWidth="1"/>
    <col min="3" max="3" width="7.26953125" style="1" bestFit="1" customWidth="1"/>
    <col min="4" max="4" width="7.6328125" style="1" bestFit="1" customWidth="1"/>
    <col min="5" max="5" width="7.26953125" style="1" bestFit="1" customWidth="1"/>
    <col min="6" max="6" width="7.26953125" style="1" customWidth="1"/>
    <col min="7" max="7" width="7.81640625" style="1" bestFit="1" customWidth="1"/>
    <col min="8" max="8" width="14.81640625" style="1" customWidth="1"/>
    <col min="9" max="16384" width="9" style="1"/>
  </cols>
  <sheetData>
    <row r="1" spans="1:8">
      <c r="A1" s="8" t="s">
        <v>35</v>
      </c>
    </row>
    <row r="2" spans="1:8">
      <c r="B2" s="14" t="s">
        <v>34</v>
      </c>
      <c r="C2" s="13">
        <v>0</v>
      </c>
      <c r="D2" s="14" t="s">
        <v>33</v>
      </c>
      <c r="E2" s="13">
        <v>0</v>
      </c>
      <c r="H2" s="37" t="s">
        <v>26</v>
      </c>
    </row>
    <row r="3" spans="1:8">
      <c r="A3" s="7" t="s">
        <v>15</v>
      </c>
      <c r="B3" s="7">
        <v>3.0999999999999999E-3</v>
      </c>
      <c r="C3" s="7">
        <v>5.5999999999999999E-3</v>
      </c>
      <c r="D3" s="7">
        <v>8.0999999999999996E-3</v>
      </c>
      <c r="E3" s="7">
        <v>1.06E-2</v>
      </c>
      <c r="F3" s="7">
        <v>1.5599999999999999E-2</v>
      </c>
      <c r="G3" s="7">
        <v>2.5600000000000001E-2</v>
      </c>
      <c r="H3" s="38" t="s">
        <v>25</v>
      </c>
    </row>
    <row r="4" spans="1:8">
      <c r="A4" s="1" t="s">
        <v>32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39"/>
    </row>
    <row r="5" spans="1:8">
      <c r="A5" s="1" t="s">
        <v>12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39"/>
    </row>
    <row r="6" spans="1:8">
      <c r="A6" s="1" t="s">
        <v>102</v>
      </c>
      <c r="B6" s="1">
        <f t="shared" ref="B6:G6" si="0">$C$2</f>
        <v>0</v>
      </c>
      <c r="C6" s="1">
        <f t="shared" si="0"/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40" t="s">
        <v>31</v>
      </c>
    </row>
    <row r="7" spans="1:8">
      <c r="A7" s="1" t="s">
        <v>30</v>
      </c>
      <c r="B7" s="1">
        <f t="shared" ref="B7:G7" si="1">$E$2</f>
        <v>0</v>
      </c>
      <c r="C7" s="1">
        <f t="shared" si="1"/>
        <v>0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  <c r="H7" s="40" t="s">
        <v>21</v>
      </c>
    </row>
    <row r="8" spans="1:8">
      <c r="A8" s="1" t="s">
        <v>20</v>
      </c>
      <c r="B8" s="1">
        <f t="shared" ref="B8:G8" si="2">(B4+B3)/2</f>
        <v>4.3499999999999997E-3</v>
      </c>
      <c r="C8" s="1">
        <f t="shared" si="2"/>
        <v>5.5999999999999999E-3</v>
      </c>
      <c r="D8" s="1">
        <f t="shared" si="2"/>
        <v>6.8500000000000002E-3</v>
      </c>
      <c r="E8" s="1">
        <f t="shared" si="2"/>
        <v>8.0999999999999996E-3</v>
      </c>
      <c r="F8" s="1">
        <f t="shared" si="2"/>
        <v>1.06E-2</v>
      </c>
      <c r="G8" s="1">
        <f t="shared" si="2"/>
        <v>1.5600000000000001E-2</v>
      </c>
      <c r="H8" s="40"/>
    </row>
    <row r="9" spans="1:8" ht="15" customHeight="1">
      <c r="A9" s="6" t="s">
        <v>7</v>
      </c>
      <c r="B9" s="5">
        <f t="shared" ref="B9:G9" si="3">B6/B8^(1-B7)</f>
        <v>0</v>
      </c>
      <c r="C9" s="5">
        <f t="shared" si="3"/>
        <v>0</v>
      </c>
      <c r="D9" s="5">
        <f t="shared" si="3"/>
        <v>0</v>
      </c>
      <c r="E9" s="5">
        <f t="shared" si="3"/>
        <v>0</v>
      </c>
      <c r="F9" s="5">
        <f t="shared" si="3"/>
        <v>0</v>
      </c>
      <c r="G9" s="5">
        <f t="shared" si="3"/>
        <v>0</v>
      </c>
      <c r="H9" s="40"/>
    </row>
    <row r="10" spans="1:8">
      <c r="A10" s="1" t="s">
        <v>5</v>
      </c>
      <c r="B10" s="4">
        <f t="shared" ref="B10:G10" si="4">(1-B7)*(2+B7)/24*((B4-B3)/B8)^2</f>
        <v>2.7524551900295069E-2</v>
      </c>
      <c r="C10" s="4">
        <f t="shared" si="4"/>
        <v>0</v>
      </c>
      <c r="D10" s="4">
        <f t="shared" si="4"/>
        <v>1.109986324968476E-2</v>
      </c>
      <c r="E10" s="4">
        <f t="shared" si="4"/>
        <v>3.1753289640806794E-2</v>
      </c>
      <c r="F10" s="4">
        <f t="shared" si="4"/>
        <v>7.4166370001186643E-2</v>
      </c>
      <c r="G10" s="4">
        <f t="shared" si="4"/>
        <v>0.13697129081744464</v>
      </c>
      <c r="H10" s="40"/>
    </row>
    <row r="11" spans="1:8">
      <c r="A11" s="1" t="s">
        <v>3</v>
      </c>
      <c r="B11" s="4">
        <f t="shared" ref="B11:G11" si="5">(1-B7)^2/24*(B6^2*B5)/B8^(2-2*B7)</f>
        <v>0</v>
      </c>
      <c r="C11" s="4">
        <f t="shared" si="5"/>
        <v>0</v>
      </c>
      <c r="D11" s="4">
        <f t="shared" si="5"/>
        <v>0</v>
      </c>
      <c r="E11" s="4">
        <f t="shared" si="5"/>
        <v>0</v>
      </c>
      <c r="F11" s="4">
        <f t="shared" si="5"/>
        <v>0</v>
      </c>
      <c r="G11" s="4">
        <f t="shared" si="5"/>
        <v>0</v>
      </c>
      <c r="H11" s="40"/>
    </row>
    <row r="12" spans="1:8">
      <c r="A12" s="3" t="s">
        <v>19</v>
      </c>
      <c r="B12" s="2">
        <f t="shared" ref="B12:G12" si="6">B9*(1+B10+B11)</f>
        <v>0</v>
      </c>
      <c r="C12" s="2">
        <f t="shared" si="6"/>
        <v>0</v>
      </c>
      <c r="D12" s="2">
        <f t="shared" si="6"/>
        <v>0</v>
      </c>
      <c r="E12" s="2">
        <f t="shared" si="6"/>
        <v>0</v>
      </c>
      <c r="F12" s="2">
        <f t="shared" si="6"/>
        <v>0</v>
      </c>
      <c r="G12" s="2">
        <f t="shared" si="6"/>
        <v>0</v>
      </c>
      <c r="H12" s="40"/>
    </row>
    <row r="13" spans="1:8">
      <c r="A13" s="20" t="s">
        <v>18</v>
      </c>
      <c r="B13" s="21">
        <v>0.46089999999999998</v>
      </c>
      <c r="C13" s="21">
        <v>0.45300000000000001</v>
      </c>
      <c r="D13" s="21">
        <v>0.50170000000000003</v>
      </c>
      <c r="E13" s="21">
        <v>0.53849999999999998</v>
      </c>
      <c r="F13" s="21">
        <v>0.58420000000000005</v>
      </c>
      <c r="G13" s="21">
        <v>0.62719999999999998</v>
      </c>
      <c r="H13" s="40"/>
    </row>
    <row r="14" spans="1:8">
      <c r="A14" s="19" t="s">
        <v>17</v>
      </c>
      <c r="B14" s="16">
        <f>(B13-B12)^2</f>
        <v>0.21242880999999997</v>
      </c>
      <c r="C14" s="16">
        <f t="shared" ref="C14:G14" si="7">(C13-C12)^2</f>
        <v>0.205209</v>
      </c>
      <c r="D14" s="16">
        <f t="shared" si="7"/>
        <v>0.25170289000000001</v>
      </c>
      <c r="E14" s="16">
        <f t="shared" si="7"/>
        <v>0.28998225</v>
      </c>
      <c r="F14" s="16">
        <f t="shared" si="7"/>
        <v>0.34128964000000006</v>
      </c>
      <c r="G14" s="16">
        <f t="shared" si="7"/>
        <v>0.39337983999999998</v>
      </c>
      <c r="H14" s="40" t="s">
        <v>90</v>
      </c>
    </row>
    <row r="15" spans="1:8">
      <c r="F15" s="15" t="s">
        <v>91</v>
      </c>
      <c r="G15" s="4">
        <f>SUM(B14:G14)/6</f>
        <v>0.28233207166666668</v>
      </c>
      <c r="H15" s="40" t="s">
        <v>95</v>
      </c>
    </row>
    <row r="16" spans="1:8">
      <c r="F16" s="15" t="s">
        <v>100</v>
      </c>
      <c r="G16" s="4">
        <f>G15^0.5</f>
        <v>0.53134929346585813</v>
      </c>
      <c r="H16" s="40" t="s">
        <v>96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120" zoomScaleNormal="120" workbookViewId="0"/>
  </sheetViews>
  <sheetFormatPr defaultColWidth="9" defaultRowHeight="12"/>
  <cols>
    <col min="1" max="1" width="9.7265625" style="1" bestFit="1" customWidth="1"/>
    <col min="2" max="7" width="8" style="1" customWidth="1"/>
    <col min="8" max="8" width="14.7265625" style="1" customWidth="1"/>
    <col min="9" max="16384" width="9" style="1"/>
  </cols>
  <sheetData>
    <row r="1" spans="1:8">
      <c r="A1" s="8" t="s">
        <v>29</v>
      </c>
    </row>
    <row r="2" spans="1:8">
      <c r="B2" s="14" t="s">
        <v>28</v>
      </c>
      <c r="C2" s="13">
        <v>2.6715299881670629</v>
      </c>
      <c r="D2" s="14" t="s">
        <v>27</v>
      </c>
      <c r="E2" s="13">
        <v>1.330632282984173</v>
      </c>
      <c r="H2" s="37" t="s">
        <v>26</v>
      </c>
    </row>
    <row r="3" spans="1:8">
      <c r="A3" s="7" t="s">
        <v>15</v>
      </c>
      <c r="B3" s="7">
        <v>3.0999999999999999E-3</v>
      </c>
      <c r="C3" s="7">
        <v>5.5999999999999999E-3</v>
      </c>
      <c r="D3" s="7">
        <v>8.0999999999999996E-3</v>
      </c>
      <c r="E3" s="7">
        <v>1.06E-2</v>
      </c>
      <c r="F3" s="7">
        <v>1.5599999999999999E-2</v>
      </c>
      <c r="G3" s="7">
        <v>2.5600000000000001E-2</v>
      </c>
      <c r="H3" s="38" t="s">
        <v>25</v>
      </c>
    </row>
    <row r="4" spans="1:8">
      <c r="A4" s="1" t="s">
        <v>24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39"/>
    </row>
    <row r="5" spans="1:8">
      <c r="A5" s="1" t="s">
        <v>12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39"/>
    </row>
    <row r="6" spans="1:8">
      <c r="A6" s="1" t="s">
        <v>102</v>
      </c>
      <c r="B6" s="5">
        <f t="shared" ref="B6:G6" si="0">$C$2</f>
        <v>2.6715299881670629</v>
      </c>
      <c r="C6" s="5">
        <f t="shared" si="0"/>
        <v>2.6715299881670629</v>
      </c>
      <c r="D6" s="5">
        <f t="shared" si="0"/>
        <v>2.6715299881670629</v>
      </c>
      <c r="E6" s="5">
        <f t="shared" si="0"/>
        <v>2.6715299881670629</v>
      </c>
      <c r="F6" s="5">
        <f t="shared" si="0"/>
        <v>2.6715299881670629</v>
      </c>
      <c r="G6" s="5">
        <f t="shared" si="0"/>
        <v>2.6715299881670629</v>
      </c>
      <c r="H6" s="40" t="s">
        <v>23</v>
      </c>
    </row>
    <row r="7" spans="1:8">
      <c r="A7" s="1" t="s">
        <v>22</v>
      </c>
      <c r="B7" s="5">
        <f t="shared" ref="B7:G7" si="1">$E$2</f>
        <v>1.330632282984173</v>
      </c>
      <c r="C7" s="5">
        <f t="shared" si="1"/>
        <v>1.330632282984173</v>
      </c>
      <c r="D7" s="5">
        <f t="shared" si="1"/>
        <v>1.330632282984173</v>
      </c>
      <c r="E7" s="5">
        <f t="shared" si="1"/>
        <v>1.330632282984173</v>
      </c>
      <c r="F7" s="5">
        <f t="shared" si="1"/>
        <v>1.330632282984173</v>
      </c>
      <c r="G7" s="5">
        <f t="shared" si="1"/>
        <v>1.330632282984173</v>
      </c>
      <c r="H7" s="40" t="s">
        <v>21</v>
      </c>
    </row>
    <row r="8" spans="1:8">
      <c r="A8" s="1" t="s">
        <v>20</v>
      </c>
      <c r="B8" s="5">
        <f t="shared" ref="B8:G8" si="2">(B4+B3)/2</f>
        <v>4.3499999999999997E-3</v>
      </c>
      <c r="C8" s="5">
        <f t="shared" si="2"/>
        <v>5.5999999999999999E-3</v>
      </c>
      <c r="D8" s="5">
        <f t="shared" si="2"/>
        <v>6.8500000000000002E-3</v>
      </c>
      <c r="E8" s="5">
        <f t="shared" si="2"/>
        <v>8.0999999999999996E-3</v>
      </c>
      <c r="F8" s="5">
        <f t="shared" si="2"/>
        <v>1.06E-2</v>
      </c>
      <c r="G8" s="5">
        <f t="shared" si="2"/>
        <v>1.5600000000000001E-2</v>
      </c>
      <c r="H8" s="40"/>
    </row>
    <row r="9" spans="1:8" ht="15" customHeight="1">
      <c r="A9" s="6" t="s">
        <v>7</v>
      </c>
      <c r="B9" s="5">
        <f t="shared" ref="B9:G9" si="3">B6/B8^(1-B7)</f>
        <v>0.44255613467276067</v>
      </c>
      <c r="C9" s="5">
        <f t="shared" si="3"/>
        <v>0.48110328251826956</v>
      </c>
      <c r="D9" s="5">
        <f t="shared" si="3"/>
        <v>0.51424429944871464</v>
      </c>
      <c r="E9" s="5">
        <f t="shared" si="3"/>
        <v>0.54354772259614526</v>
      </c>
      <c r="F9" s="5">
        <f t="shared" si="3"/>
        <v>0.59410392771870746</v>
      </c>
      <c r="G9" s="5">
        <f t="shared" si="3"/>
        <v>0.67506985386279472</v>
      </c>
      <c r="H9" s="40"/>
    </row>
    <row r="10" spans="1:8">
      <c r="A10" s="1" t="s">
        <v>5</v>
      </c>
      <c r="B10" s="4">
        <f t="shared" ref="B10:G10" si="4">(1-B7)*(2+B7)/24*((B4-B3)/B8)^2</f>
        <v>-1.5155218593162979E-2</v>
      </c>
      <c r="C10" s="4">
        <f t="shared" si="4"/>
        <v>0</v>
      </c>
      <c r="D10" s="4">
        <f t="shared" si="4"/>
        <v>-6.1116654873275356E-3</v>
      </c>
      <c r="E10" s="4">
        <f t="shared" si="4"/>
        <v>-1.7483592368792957E-2</v>
      </c>
      <c r="F10" s="4">
        <f t="shared" si="4"/>
        <v>-4.0836543087095237E-2</v>
      </c>
      <c r="G10" s="4">
        <f t="shared" si="4"/>
        <v>-7.5417389567160112E-2</v>
      </c>
      <c r="H10" s="40"/>
    </row>
    <row r="11" spans="1:8">
      <c r="A11" s="1" t="s">
        <v>3</v>
      </c>
      <c r="B11" s="4">
        <f t="shared" ref="B11:G11" si="5">(1-B7)^2/24*(B6^2*B5)/B8^(2-2*B7)</f>
        <v>1.7842101114581117E-3</v>
      </c>
      <c r="C11" s="4">
        <f t="shared" si="5"/>
        <v>2.1085597197052493E-3</v>
      </c>
      <c r="D11" s="4">
        <f t="shared" si="5"/>
        <v>2.409063446246282E-3</v>
      </c>
      <c r="E11" s="4">
        <f t="shared" si="5"/>
        <v>2.6914395291013915E-3</v>
      </c>
      <c r="F11" s="4">
        <f t="shared" si="5"/>
        <v>3.2153933769691911E-3</v>
      </c>
      <c r="G11" s="4">
        <f t="shared" si="5"/>
        <v>4.1515157947809257E-3</v>
      </c>
      <c r="H11" s="40"/>
    </row>
    <row r="12" spans="1:8">
      <c r="A12" s="3" t="s">
        <v>19</v>
      </c>
      <c r="B12" s="2">
        <f t="shared" ref="B12:G12" si="6">B9*(1+B10+B11)</f>
        <v>0.43663871284242067</v>
      </c>
      <c r="C12" s="2">
        <f t="shared" si="6"/>
        <v>0.48211771752080557</v>
      </c>
      <c r="D12" s="2">
        <f t="shared" si="6"/>
        <v>0.51234025745596135</v>
      </c>
      <c r="E12" s="2">
        <f t="shared" si="6"/>
        <v>0.5355074816078369</v>
      </c>
      <c r="F12" s="2">
        <f t="shared" si="6"/>
        <v>0.571753054910628</v>
      </c>
      <c r="G12" s="2">
        <f t="shared" si="6"/>
        <v>0.62696041086987031</v>
      </c>
      <c r="H12" s="40"/>
    </row>
    <row r="13" spans="1:8">
      <c r="A13" s="20" t="s">
        <v>18</v>
      </c>
      <c r="B13" s="21">
        <v>0.46089999999999998</v>
      </c>
      <c r="C13" s="21">
        <v>0.45300000000000001</v>
      </c>
      <c r="D13" s="21">
        <v>0.50170000000000003</v>
      </c>
      <c r="E13" s="21">
        <v>0.53849999999999998</v>
      </c>
      <c r="F13" s="21">
        <v>0.58420000000000005</v>
      </c>
      <c r="G13" s="21">
        <v>0.62719999999999998</v>
      </c>
      <c r="H13" s="40"/>
    </row>
    <row r="14" spans="1:8">
      <c r="A14" s="19" t="s">
        <v>17</v>
      </c>
      <c r="B14" s="16">
        <f>(B13-B12)^2</f>
        <v>5.8861005454252245E-4</v>
      </c>
      <c r="C14" s="16">
        <f t="shared" ref="C14:G14" si="7">(C13-C12)^2</f>
        <v>8.4784147362142669E-4</v>
      </c>
      <c r="D14" s="16">
        <f t="shared" si="7"/>
        <v>1.1321507872914027E-4</v>
      </c>
      <c r="E14" s="4">
        <f t="shared" si="7"/>
        <v>8.9551663274343015E-6</v>
      </c>
      <c r="F14" s="4">
        <f t="shared" si="7"/>
        <v>1.5492644205784305E-4</v>
      </c>
      <c r="G14" s="4">
        <f t="shared" si="7"/>
        <v>5.7402951276291615E-8</v>
      </c>
      <c r="H14" s="40" t="s">
        <v>90</v>
      </c>
    </row>
    <row r="15" spans="1:8">
      <c r="E15" s="11"/>
      <c r="F15" s="10" t="s">
        <v>91</v>
      </c>
      <c r="G15" s="9">
        <f>SUM(B14:G14)/6</f>
        <v>2.8560093637160721E-4</v>
      </c>
      <c r="H15" s="40" t="s">
        <v>95</v>
      </c>
    </row>
    <row r="16" spans="1:8">
      <c r="F16" s="15" t="s">
        <v>100</v>
      </c>
      <c r="G16" s="4">
        <f>G15^0.5</f>
        <v>1.6899731843186366E-2</v>
      </c>
      <c r="H16" s="40" t="s">
        <v>96</v>
      </c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="120" zoomScaleNormal="120" workbookViewId="0"/>
  </sheetViews>
  <sheetFormatPr defaultColWidth="9" defaultRowHeight="12"/>
  <cols>
    <col min="1" max="1" width="9.7265625" style="1" bestFit="1" customWidth="1"/>
    <col min="2" max="2" width="7.6328125" style="1" bestFit="1" customWidth="1"/>
    <col min="3" max="6" width="8.08984375" style="1" customWidth="1"/>
    <col min="7" max="7" width="7.26953125" style="1" customWidth="1"/>
    <col min="8" max="8" width="7.81640625" style="1" bestFit="1" customWidth="1"/>
    <col min="9" max="9" width="12.90625" style="1" customWidth="1"/>
    <col min="10" max="16384" width="9" style="1"/>
  </cols>
  <sheetData>
    <row r="1" spans="1:9">
      <c r="A1" s="8" t="s">
        <v>46</v>
      </c>
    </row>
    <row r="2" spans="1:9">
      <c r="B2" s="14" t="s">
        <v>45</v>
      </c>
      <c r="C2" s="13">
        <v>0.15939999999999999</v>
      </c>
      <c r="D2" s="14" t="s">
        <v>44</v>
      </c>
      <c r="E2" s="13">
        <v>0.74760000000000004</v>
      </c>
      <c r="I2" s="12"/>
    </row>
    <row r="3" spans="1:9">
      <c r="A3" s="7" t="s">
        <v>15</v>
      </c>
      <c r="B3" s="7">
        <v>5.9999999999999995E-4</v>
      </c>
      <c r="C3" s="7">
        <v>3.0999999999999999E-3</v>
      </c>
      <c r="D3" s="7">
        <v>5.5999999999999999E-3</v>
      </c>
      <c r="E3" s="7">
        <v>8.0999999999999996E-3</v>
      </c>
      <c r="F3" s="7">
        <v>1.06E-2</v>
      </c>
      <c r="G3" s="7">
        <v>1.5599999999999999E-2</v>
      </c>
      <c r="H3" s="7">
        <v>2.5600000000000001E-2</v>
      </c>
      <c r="I3" s="38" t="s">
        <v>43</v>
      </c>
    </row>
    <row r="4" spans="1:9">
      <c r="A4" s="1" t="s">
        <v>42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1">
        <v>5.5999999999999999E-3</v>
      </c>
      <c r="I4" s="39"/>
    </row>
    <row r="5" spans="1:9">
      <c r="A5" s="1" t="s">
        <v>41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39"/>
    </row>
    <row r="6" spans="1:9">
      <c r="A6" s="1" t="s">
        <v>40</v>
      </c>
      <c r="B6" s="1">
        <f t="shared" ref="B6:H6" si="0">$C$2</f>
        <v>0.15939999999999999</v>
      </c>
      <c r="C6" s="1">
        <f t="shared" si="0"/>
        <v>0.15939999999999999</v>
      </c>
      <c r="D6" s="1">
        <f t="shared" si="0"/>
        <v>0.15939999999999999</v>
      </c>
      <c r="E6" s="1">
        <f t="shared" si="0"/>
        <v>0.15939999999999999</v>
      </c>
      <c r="F6" s="1">
        <f t="shared" si="0"/>
        <v>0.15939999999999999</v>
      </c>
      <c r="G6" s="1">
        <f t="shared" si="0"/>
        <v>0.15939999999999999</v>
      </c>
      <c r="H6" s="1">
        <f t="shared" si="0"/>
        <v>0.15939999999999999</v>
      </c>
      <c r="I6" s="40" t="s">
        <v>39</v>
      </c>
    </row>
    <row r="7" spans="1:9">
      <c r="A7" s="1" t="s">
        <v>38</v>
      </c>
      <c r="B7" s="1">
        <f t="shared" ref="B7:H7" si="1">$E$2</f>
        <v>0.74760000000000004</v>
      </c>
      <c r="C7" s="1">
        <f t="shared" si="1"/>
        <v>0.74760000000000004</v>
      </c>
      <c r="D7" s="1">
        <f t="shared" si="1"/>
        <v>0.74760000000000004</v>
      </c>
      <c r="E7" s="1">
        <f t="shared" si="1"/>
        <v>0.74760000000000004</v>
      </c>
      <c r="F7" s="1">
        <f t="shared" si="1"/>
        <v>0.74760000000000004</v>
      </c>
      <c r="G7" s="1">
        <f t="shared" si="1"/>
        <v>0.74760000000000004</v>
      </c>
      <c r="H7" s="1">
        <f t="shared" si="1"/>
        <v>0.74760000000000004</v>
      </c>
      <c r="I7" s="40" t="s">
        <v>21</v>
      </c>
    </row>
    <row r="8" spans="1:9">
      <c r="A8" s="1" t="s">
        <v>37</v>
      </c>
      <c r="B8" s="1">
        <f t="shared" ref="B8:H8" si="2">(B4+B3)/2</f>
        <v>3.0999999999999999E-3</v>
      </c>
      <c r="C8" s="1">
        <f t="shared" si="2"/>
        <v>4.3499999999999997E-3</v>
      </c>
      <c r="D8" s="1">
        <f t="shared" si="2"/>
        <v>5.5999999999999999E-3</v>
      </c>
      <c r="E8" s="1">
        <f t="shared" si="2"/>
        <v>6.8500000000000002E-3</v>
      </c>
      <c r="F8" s="1">
        <f t="shared" si="2"/>
        <v>8.0999999999999996E-3</v>
      </c>
      <c r="G8" s="1">
        <f t="shared" si="2"/>
        <v>1.06E-2</v>
      </c>
      <c r="H8" s="1">
        <f t="shared" si="2"/>
        <v>1.5600000000000001E-2</v>
      </c>
      <c r="I8" s="40"/>
    </row>
    <row r="9" spans="1:9" ht="15" customHeight="1">
      <c r="A9" s="6" t="s">
        <v>7</v>
      </c>
      <c r="B9" s="5">
        <f t="shared" ref="B9:H9" si="3">B6/B8^(1-B7)</f>
        <v>0.68496538615907732</v>
      </c>
      <c r="C9" s="5">
        <f t="shared" si="3"/>
        <v>0.6288305442948815</v>
      </c>
      <c r="D9" s="5">
        <f t="shared" si="3"/>
        <v>0.5899913698980539</v>
      </c>
      <c r="E9" s="5">
        <f t="shared" si="3"/>
        <v>0.56073803682742906</v>
      </c>
      <c r="F9" s="5">
        <f t="shared" si="3"/>
        <v>0.53751018550745211</v>
      </c>
      <c r="G9" s="5">
        <f t="shared" si="3"/>
        <v>0.50222822552069069</v>
      </c>
      <c r="H9" s="5">
        <f t="shared" si="3"/>
        <v>0.45555799035022365</v>
      </c>
      <c r="I9" s="40"/>
    </row>
    <row r="10" spans="1:9">
      <c r="A10" s="1" t="s">
        <v>5</v>
      </c>
      <c r="B10" s="4">
        <f t="shared" ref="B10:H10" si="4">(1-B7)*(2+B7)/24*((B4-B3)/B8)^2</f>
        <v>7.5170638224072148E-2</v>
      </c>
      <c r="C10" s="4">
        <f t="shared" si="4"/>
        <v>9.5440591007178409E-3</v>
      </c>
      <c r="D10" s="4">
        <f t="shared" si="4"/>
        <v>0</v>
      </c>
      <c r="E10" s="4">
        <f t="shared" si="4"/>
        <v>3.8488456142220314E-3</v>
      </c>
      <c r="F10" s="4">
        <f t="shared" si="4"/>
        <v>1.1010361733475589E-2</v>
      </c>
      <c r="G10" s="4">
        <f t="shared" si="4"/>
        <v>2.5716975198765861E-2</v>
      </c>
      <c r="H10" s="4">
        <f t="shared" si="4"/>
        <v>4.7494400613631367E-2</v>
      </c>
      <c r="I10" s="40"/>
    </row>
    <row r="11" spans="1:9">
      <c r="A11" s="1" t="s">
        <v>3</v>
      </c>
      <c r="B11" s="4">
        <f t="shared" ref="B11:H11" si="5">(1-B7)^2/24*(B6^2*B5)/B8^(2-2*B7)</f>
        <v>2.4907761936582319E-3</v>
      </c>
      <c r="C11" s="4">
        <f t="shared" si="5"/>
        <v>2.0992526607040776E-3</v>
      </c>
      <c r="D11" s="4">
        <f t="shared" si="5"/>
        <v>1.8479438593203958E-3</v>
      </c>
      <c r="E11" s="4">
        <f t="shared" si="5"/>
        <v>1.6692350247551819E-3</v>
      </c>
      <c r="F11" s="4">
        <f t="shared" si="5"/>
        <v>1.5338074810636938E-3</v>
      </c>
      <c r="G11" s="4">
        <f t="shared" si="5"/>
        <v>1.3390589248868984E-3</v>
      </c>
      <c r="H11" s="4">
        <f t="shared" si="5"/>
        <v>1.1017543958656529E-3</v>
      </c>
      <c r="I11" s="40"/>
    </row>
    <row r="12" spans="1:9">
      <c r="A12" s="3" t="s">
        <v>36</v>
      </c>
      <c r="B12" s="2">
        <f t="shared" ref="B12:H12" si="6">B9*(1+B10+B11)</f>
        <v>0.73816076687537824</v>
      </c>
      <c r="C12" s="2">
        <f t="shared" si="6"/>
        <v>0.63615221436721137</v>
      </c>
      <c r="D12" s="2">
        <f t="shared" si="6"/>
        <v>0.59108164082710901</v>
      </c>
      <c r="E12" s="2">
        <f t="shared" si="6"/>
        <v>0.56383223453198461</v>
      </c>
      <c r="F12" s="2">
        <f t="shared" si="6"/>
        <v>0.54425280422899602</v>
      </c>
      <c r="G12" s="2">
        <f t="shared" si="6"/>
        <v>0.51581652952824009</v>
      </c>
      <c r="H12" s="2">
        <f t="shared" si="6"/>
        <v>0.477696357065098</v>
      </c>
      <c r="I12" s="40"/>
    </row>
    <row r="13" spans="1:9">
      <c r="A13" s="20" t="s">
        <v>18</v>
      </c>
      <c r="B13" s="21">
        <v>0.90780000000000005</v>
      </c>
      <c r="C13" s="21">
        <v>0.46089999999999998</v>
      </c>
      <c r="D13" s="21">
        <v>0.45300000000000001</v>
      </c>
      <c r="E13" s="21">
        <v>0.50170000000000003</v>
      </c>
      <c r="F13" s="21">
        <v>0.53849999999999998</v>
      </c>
      <c r="G13" s="21">
        <v>0.58420000000000005</v>
      </c>
      <c r="H13" s="21">
        <v>0.62719999999999998</v>
      </c>
      <c r="I13" s="40"/>
    </row>
    <row r="14" spans="1:9">
      <c r="A14" s="19" t="s">
        <v>17</v>
      </c>
      <c r="B14" s="16">
        <f>(B13-B12)^2</f>
        <v>2.8777469415109787E-2</v>
      </c>
      <c r="C14" s="16">
        <f t="shared" ref="C14:H14" si="7">(C13-C12)^2</f>
        <v>3.0713338640611015E-2</v>
      </c>
      <c r="D14" s="16">
        <f t="shared" si="7"/>
        <v>1.9066539533506736E-2</v>
      </c>
      <c r="E14" s="16">
        <f t="shared" si="7"/>
        <v>3.8604145679375368E-3</v>
      </c>
      <c r="F14" s="16">
        <f t="shared" si="7"/>
        <v>3.3094756497154774E-5</v>
      </c>
      <c r="G14" s="16">
        <f t="shared" si="7"/>
        <v>4.676299033762067E-3</v>
      </c>
      <c r="H14" s="16">
        <f t="shared" si="7"/>
        <v>2.2351339250806668E-2</v>
      </c>
      <c r="I14" s="40" t="s">
        <v>92</v>
      </c>
    </row>
    <row r="15" spans="1:9">
      <c r="F15" s="11"/>
      <c r="G15" s="10" t="s">
        <v>91</v>
      </c>
      <c r="H15" s="9">
        <f>SUM(B14:H14)/7</f>
        <v>1.5639785028318708E-2</v>
      </c>
      <c r="I15" s="40" t="s">
        <v>93</v>
      </c>
    </row>
    <row r="16" spans="1:9">
      <c r="G16" s="15" t="s">
        <v>100</v>
      </c>
      <c r="H16" s="4">
        <f>H15^0.5</f>
        <v>0.12505912612967798</v>
      </c>
      <c r="I16" s="40" t="s">
        <v>94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zoomScale="120" zoomScaleNormal="120" workbookViewId="0"/>
  </sheetViews>
  <sheetFormatPr defaultColWidth="9" defaultRowHeight="12"/>
  <cols>
    <col min="1" max="1" width="10.81640625" style="1" customWidth="1"/>
    <col min="2" max="2" width="8.08984375" style="1" bestFit="1" customWidth="1"/>
    <col min="3" max="3" width="36.36328125" style="1" customWidth="1"/>
    <col min="4" max="16384" width="9" style="1"/>
  </cols>
  <sheetData>
    <row r="1" spans="1:3">
      <c r="A1" s="8" t="s">
        <v>78</v>
      </c>
    </row>
    <row r="3" spans="1:3">
      <c r="A3" s="7" t="s">
        <v>15</v>
      </c>
      <c r="B3" s="22">
        <v>0.04</v>
      </c>
      <c r="C3" s="38" t="s">
        <v>77</v>
      </c>
    </row>
    <row r="4" spans="1:3">
      <c r="A4" s="1" t="s">
        <v>76</v>
      </c>
      <c r="B4" s="23">
        <v>5.5999999999999999E-3</v>
      </c>
      <c r="C4" s="39"/>
    </row>
    <row r="5" spans="1:3">
      <c r="A5" s="1" t="s">
        <v>75</v>
      </c>
      <c r="B5" s="17">
        <v>2</v>
      </c>
      <c r="C5" s="39"/>
    </row>
    <row r="6" spans="1:3">
      <c r="A6" s="1" t="s">
        <v>74</v>
      </c>
      <c r="B6" s="17">
        <v>3.0591469999999999E-2</v>
      </c>
      <c r="C6" s="39" t="s">
        <v>10</v>
      </c>
    </row>
    <row r="7" spans="1:3">
      <c r="A7" s="1" t="s">
        <v>73</v>
      </c>
      <c r="B7" s="17">
        <v>0.5</v>
      </c>
      <c r="C7" s="39" t="s">
        <v>72</v>
      </c>
    </row>
    <row r="8" spans="1:3">
      <c r="A8" s="1" t="s">
        <v>71</v>
      </c>
      <c r="B8" s="17">
        <v>0.44935819999999999</v>
      </c>
      <c r="C8" s="39" t="s">
        <v>10</v>
      </c>
    </row>
    <row r="9" spans="1:3">
      <c r="A9" s="1" t="s">
        <v>70</v>
      </c>
      <c r="B9" s="17">
        <v>0.72824909999999998</v>
      </c>
      <c r="C9" s="39" t="s">
        <v>10</v>
      </c>
    </row>
    <row r="10" spans="1:3" ht="25.5" customHeight="1">
      <c r="A10" s="6" t="s">
        <v>69</v>
      </c>
      <c r="B10" s="18">
        <f>1-B7</f>
        <v>0.5</v>
      </c>
      <c r="C10" s="41" t="s">
        <v>68</v>
      </c>
    </row>
    <row r="11" spans="1:3">
      <c r="A11" s="1" t="s">
        <v>67</v>
      </c>
      <c r="B11" s="17">
        <f>B4*B3</f>
        <v>2.24E-4</v>
      </c>
      <c r="C11" s="40" t="s">
        <v>66</v>
      </c>
    </row>
    <row r="12" spans="1:3">
      <c r="A12" s="1" t="s">
        <v>65</v>
      </c>
      <c r="B12" s="17">
        <f>LN(B4/B3)</f>
        <v>-1.966112856372833</v>
      </c>
      <c r="C12" s="40" t="s">
        <v>64</v>
      </c>
    </row>
    <row r="13" spans="1:3">
      <c r="A13" s="1" t="s">
        <v>63</v>
      </c>
      <c r="B13" s="4">
        <f xml:space="preserve"> B9/B6 * B11^ (0.5 * B10) * B12</f>
        <v>-5.7259830453440834</v>
      </c>
      <c r="C13" s="40" t="s">
        <v>62</v>
      </c>
    </row>
    <row r="14" spans="1:3">
      <c r="A14" s="1" t="s">
        <v>61</v>
      </c>
      <c r="B14" s="4">
        <f>LN(((1- 2*B8*B13 + B13^2)^0.5 + B13 - B8) / (1 - B8))</f>
        <v>-2.1477818401599564</v>
      </c>
      <c r="C14" s="40" t="s">
        <v>103</v>
      </c>
    </row>
    <row r="15" spans="1:3">
      <c r="A15" s="1" t="s">
        <v>60</v>
      </c>
      <c r="B15" s="4">
        <f>IF(B3=B4,1,B13/B14)</f>
        <v>2.6659984446640261</v>
      </c>
      <c r="C15" s="40" t="s">
        <v>59</v>
      </c>
    </row>
    <row r="16" spans="1:3">
      <c r="A16" s="6" t="s">
        <v>58</v>
      </c>
      <c r="B16" s="4">
        <f>B10^2 /24 * B6^2 / B11^B10</f>
        <v>6.5133655191042489E-4</v>
      </c>
      <c r="C16" s="40" t="s">
        <v>57</v>
      </c>
    </row>
    <row r="17" spans="1:6">
      <c r="A17" s="6" t="s">
        <v>56</v>
      </c>
      <c r="B17" s="4">
        <f>B6*B7*B8*B9 / (4*B11^(B10/2))</f>
        <v>1.0228712751772605E-2</v>
      </c>
      <c r="C17" s="40" t="s">
        <v>55</v>
      </c>
    </row>
    <row r="18" spans="1:6">
      <c r="A18" s="6" t="s">
        <v>54</v>
      </c>
      <c r="B18" s="4">
        <f>(2-3*B8^2)/24 * B9^2</f>
        <v>3.0809425541034101E-2</v>
      </c>
      <c r="C18" s="40" t="s">
        <v>53</v>
      </c>
    </row>
    <row r="19" spans="1:6">
      <c r="A19" s="6" t="s">
        <v>52</v>
      </c>
      <c r="B19" s="4">
        <f>B11^ (0.5*B10)</f>
        <v>0.12233817698125046</v>
      </c>
      <c r="C19" s="40" t="s">
        <v>51</v>
      </c>
      <c r="F19" s="15"/>
    </row>
    <row r="20" spans="1:6">
      <c r="A20" s="6" t="s">
        <v>50</v>
      </c>
      <c r="B20" s="16">
        <f xml:space="preserve"> 1+B10^2/24 * B12^2 + B10^4/1920 * B12^ 4</f>
        <v>1.0407530854822151</v>
      </c>
      <c r="C20" s="40" t="s">
        <v>49</v>
      </c>
      <c r="F20" s="15"/>
    </row>
    <row r="21" spans="1:6">
      <c r="A21" s="3" t="s">
        <v>48</v>
      </c>
      <c r="B21" s="4">
        <f>B6*(1+(B16+B17+B18)*B5) / (B19*B20) * B15</f>
        <v>0.69395437706552021</v>
      </c>
      <c r="C21" s="42" t="s">
        <v>47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20" zoomScaleNormal="120" workbookViewId="0"/>
  </sheetViews>
  <sheetFormatPr defaultColWidth="9" defaultRowHeight="12"/>
  <cols>
    <col min="1" max="1" width="11.36328125" style="1" customWidth="1"/>
    <col min="2" max="8" width="8.36328125" style="1" customWidth="1"/>
    <col min="9" max="9" width="13.36328125" style="1" customWidth="1"/>
    <col min="10" max="16384" width="9" style="1"/>
  </cols>
  <sheetData>
    <row r="1" spans="1:9">
      <c r="A1" s="8" t="s">
        <v>89</v>
      </c>
    </row>
    <row r="2" spans="1:9">
      <c r="B2" s="14" t="s">
        <v>45</v>
      </c>
      <c r="C2" s="13">
        <v>3.0591469463117433E-2</v>
      </c>
      <c r="D2" s="14" t="s">
        <v>88</v>
      </c>
      <c r="E2" s="13">
        <v>0.44935814931262108</v>
      </c>
      <c r="G2" s="14" t="s">
        <v>87</v>
      </c>
      <c r="H2" s="13">
        <v>0.72824925637523641</v>
      </c>
    </row>
    <row r="3" spans="1:9">
      <c r="A3" s="7" t="s">
        <v>15</v>
      </c>
      <c r="B3" s="7">
        <v>5.9999999999999995E-4</v>
      </c>
      <c r="C3" s="7">
        <v>3.0999999999999999E-3</v>
      </c>
      <c r="D3" s="7">
        <v>5.5999999999999999E-3</v>
      </c>
      <c r="E3" s="7">
        <v>8.0999999999999996E-3</v>
      </c>
      <c r="F3" s="7">
        <v>1.06E-2</v>
      </c>
      <c r="G3" s="7">
        <v>1.5599999999999999E-2</v>
      </c>
      <c r="H3" s="7">
        <v>2.5600000000000001E-2</v>
      </c>
    </row>
    <row r="4" spans="1:9">
      <c r="A4" s="1" t="s">
        <v>42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1">
        <v>5.5999999999999999E-3</v>
      </c>
      <c r="I4" s="39"/>
    </row>
    <row r="5" spans="1:9">
      <c r="A5" s="1" t="s">
        <v>41</v>
      </c>
      <c r="B5" s="17">
        <v>2</v>
      </c>
      <c r="C5" s="17">
        <v>2</v>
      </c>
      <c r="D5" s="17">
        <v>2</v>
      </c>
      <c r="E5" s="17">
        <v>2</v>
      </c>
      <c r="F5" s="17">
        <v>2</v>
      </c>
      <c r="G5" s="17">
        <v>2</v>
      </c>
      <c r="H5" s="17">
        <v>2</v>
      </c>
      <c r="I5" s="39"/>
    </row>
    <row r="6" spans="1:9">
      <c r="A6" s="1" t="s">
        <v>86</v>
      </c>
      <c r="B6" s="17">
        <f t="shared" ref="B6:H6" si="0">$C$2</f>
        <v>3.0591469463117433E-2</v>
      </c>
      <c r="C6" s="17">
        <f t="shared" si="0"/>
        <v>3.0591469463117433E-2</v>
      </c>
      <c r="D6" s="17">
        <f t="shared" si="0"/>
        <v>3.0591469463117433E-2</v>
      </c>
      <c r="E6" s="17">
        <f t="shared" si="0"/>
        <v>3.0591469463117433E-2</v>
      </c>
      <c r="F6" s="17">
        <f t="shared" si="0"/>
        <v>3.0591469463117433E-2</v>
      </c>
      <c r="G6" s="17">
        <f t="shared" si="0"/>
        <v>3.0591469463117433E-2</v>
      </c>
      <c r="H6" s="17">
        <f t="shared" si="0"/>
        <v>3.0591469463117433E-2</v>
      </c>
      <c r="I6" s="39"/>
    </row>
    <row r="7" spans="1:9">
      <c r="A7" s="20" t="s">
        <v>104</v>
      </c>
      <c r="B7" s="44">
        <v>0.5</v>
      </c>
      <c r="C7" s="44">
        <v>0.5</v>
      </c>
      <c r="D7" s="44">
        <v>0.5</v>
      </c>
      <c r="E7" s="44">
        <v>0.5</v>
      </c>
      <c r="F7" s="44">
        <v>0.5</v>
      </c>
      <c r="G7" s="44">
        <v>0.5</v>
      </c>
      <c r="H7" s="44">
        <v>0.5</v>
      </c>
      <c r="I7" s="39"/>
    </row>
    <row r="8" spans="1:9">
      <c r="A8" s="1" t="s">
        <v>85</v>
      </c>
      <c r="B8" s="17">
        <f t="shared" ref="B8:H8" si="1">$E$2</f>
        <v>0.44935814931262108</v>
      </c>
      <c r="C8" s="17">
        <f t="shared" si="1"/>
        <v>0.44935814931262108</v>
      </c>
      <c r="D8" s="17">
        <f t="shared" si="1"/>
        <v>0.44935814931262108</v>
      </c>
      <c r="E8" s="17">
        <f t="shared" si="1"/>
        <v>0.44935814931262108</v>
      </c>
      <c r="F8" s="17">
        <f t="shared" si="1"/>
        <v>0.44935814931262108</v>
      </c>
      <c r="G8" s="17">
        <f t="shared" si="1"/>
        <v>0.44935814931262108</v>
      </c>
      <c r="H8" s="17">
        <f t="shared" si="1"/>
        <v>0.44935814931262108</v>
      </c>
      <c r="I8" s="39"/>
    </row>
    <row r="9" spans="1:9">
      <c r="A9" s="1" t="s">
        <v>84</v>
      </c>
      <c r="B9" s="17">
        <f t="shared" ref="B9:H9" si="2">$H$2</f>
        <v>0.72824925637523641</v>
      </c>
      <c r="C9" s="17">
        <f t="shared" si="2"/>
        <v>0.72824925637523641</v>
      </c>
      <c r="D9" s="17">
        <f t="shared" si="2"/>
        <v>0.72824925637523641</v>
      </c>
      <c r="E9" s="17">
        <f t="shared" si="2"/>
        <v>0.72824925637523641</v>
      </c>
      <c r="F9" s="17">
        <f t="shared" si="2"/>
        <v>0.72824925637523641</v>
      </c>
      <c r="G9" s="17">
        <f t="shared" si="2"/>
        <v>0.72824925637523641</v>
      </c>
      <c r="H9" s="17">
        <f t="shared" si="2"/>
        <v>0.72824925637523641</v>
      </c>
      <c r="I9" s="39"/>
    </row>
    <row r="10" spans="1:9" ht="25.5" customHeight="1">
      <c r="A10" s="6" t="s">
        <v>83</v>
      </c>
      <c r="B10" s="18">
        <f t="shared" ref="B10:H10" si="3">1-B7</f>
        <v>0.5</v>
      </c>
      <c r="C10" s="18">
        <f t="shared" si="3"/>
        <v>0.5</v>
      </c>
      <c r="D10" s="18">
        <f t="shared" si="3"/>
        <v>0.5</v>
      </c>
      <c r="E10" s="18">
        <f t="shared" si="3"/>
        <v>0.5</v>
      </c>
      <c r="F10" s="18">
        <f t="shared" si="3"/>
        <v>0.5</v>
      </c>
      <c r="G10" s="18">
        <f t="shared" si="3"/>
        <v>0.5</v>
      </c>
      <c r="H10" s="18">
        <f t="shared" si="3"/>
        <v>0.5</v>
      </c>
      <c r="I10" s="8"/>
    </row>
    <row r="11" spans="1:9">
      <c r="A11" s="1" t="s">
        <v>82</v>
      </c>
      <c r="B11" s="17">
        <f t="shared" ref="B11:H11" si="4">B4*B3</f>
        <v>3.3599999999999996E-6</v>
      </c>
      <c r="C11" s="17">
        <f t="shared" si="4"/>
        <v>1.736E-5</v>
      </c>
      <c r="D11" s="17">
        <f t="shared" si="4"/>
        <v>3.1359999999999998E-5</v>
      </c>
      <c r="E11" s="17">
        <f t="shared" si="4"/>
        <v>4.5359999999999999E-5</v>
      </c>
      <c r="F11" s="17">
        <f t="shared" si="4"/>
        <v>5.9360000000000001E-5</v>
      </c>
      <c r="G11" s="17">
        <f t="shared" si="4"/>
        <v>8.735999999999999E-5</v>
      </c>
      <c r="H11" s="17">
        <f t="shared" si="4"/>
        <v>1.4336000000000001E-4</v>
      </c>
      <c r="I11" s="8"/>
    </row>
    <row r="12" spans="1:9">
      <c r="A12" s="1" t="s">
        <v>81</v>
      </c>
      <c r="B12" s="17">
        <f t="shared" ref="B12:H12" si="5">LN(B4/B3)</f>
        <v>2.2335922215070942</v>
      </c>
      <c r="C12" s="17">
        <f t="shared" si="5"/>
        <v>0.59136448625000293</v>
      </c>
      <c r="D12" s="17">
        <f t="shared" si="5"/>
        <v>0</v>
      </c>
      <c r="E12" s="17">
        <f t="shared" si="5"/>
        <v>-0.36909746393728943</v>
      </c>
      <c r="F12" s="17">
        <f t="shared" si="5"/>
        <v>-0.63808740337691794</v>
      </c>
      <c r="G12" s="17">
        <f t="shared" si="5"/>
        <v>-1.0245043165143879</v>
      </c>
      <c r="H12" s="17">
        <f t="shared" si="5"/>
        <v>-1.5198257537444133</v>
      </c>
      <c r="I12" s="8"/>
    </row>
    <row r="13" spans="1:9">
      <c r="A13" s="1" t="s">
        <v>80</v>
      </c>
      <c r="B13" s="4">
        <f t="shared" ref="B13:H13" si="6" xml:space="preserve"> B9/B6 * B11^ (0.5 * B10) * B12</f>
        <v>2.2765040058409611</v>
      </c>
      <c r="C13" s="4">
        <f t="shared" si="6"/>
        <v>0.90870387722730939</v>
      </c>
      <c r="D13" s="4">
        <f t="shared" si="6"/>
        <v>0</v>
      </c>
      <c r="E13" s="4">
        <f t="shared" si="6"/>
        <v>-0.72108927073618911</v>
      </c>
      <c r="F13" s="4">
        <f t="shared" si="6"/>
        <v>-1.333316812087874</v>
      </c>
      <c r="G13" s="4">
        <f t="shared" si="6"/>
        <v>-2.3578797892029733</v>
      </c>
      <c r="H13" s="4">
        <f t="shared" si="6"/>
        <v>-3.9589544821864506</v>
      </c>
      <c r="I13" s="43"/>
    </row>
    <row r="14" spans="1:9">
      <c r="A14" s="1" t="s">
        <v>79</v>
      </c>
      <c r="B14" s="4">
        <f t="shared" ref="B14:H14" si="7">LN((SQRT(1- 2*B8*B13 + B13^2) + B13 - B8) / (1 - B8))</f>
        <v>1.9475954045803829</v>
      </c>
      <c r="C14" s="4">
        <f t="shared" si="7"/>
        <v>0.97775658483168393</v>
      </c>
      <c r="D14" s="4">
        <f t="shared" si="7"/>
        <v>0</v>
      </c>
      <c r="E14" s="4">
        <f t="shared" si="7"/>
        <v>-0.60074415206274323</v>
      </c>
      <c r="F14" s="4">
        <f t="shared" si="7"/>
        <v>-0.95772127247168604</v>
      </c>
      <c r="G14" s="4">
        <f t="shared" si="7"/>
        <v>-1.3786345230046517</v>
      </c>
      <c r="H14" s="4">
        <f t="shared" si="7"/>
        <v>-1.8156306890930658</v>
      </c>
      <c r="I14" s="8"/>
    </row>
    <row r="15" spans="1:9">
      <c r="A15" s="1" t="s">
        <v>60</v>
      </c>
      <c r="B15" s="4">
        <f t="shared" ref="B15:H15" si="8">IF(B3=B4,1,B13/B14)</f>
        <v>1.1688793270342732</v>
      </c>
      <c r="C15" s="4">
        <f t="shared" si="8"/>
        <v>0.92937638193839256</v>
      </c>
      <c r="D15" s="4">
        <f t="shared" si="8"/>
        <v>1</v>
      </c>
      <c r="E15" s="4">
        <f t="shared" si="8"/>
        <v>1.2003267418587817</v>
      </c>
      <c r="F15" s="4">
        <f t="shared" si="8"/>
        <v>1.3921762525404195</v>
      </c>
      <c r="G15" s="4">
        <f t="shared" si="8"/>
        <v>1.7103008446822547</v>
      </c>
      <c r="H15" s="4">
        <f t="shared" si="8"/>
        <v>2.1804844487201338</v>
      </c>
      <c r="I15" s="8"/>
    </row>
    <row r="16" spans="1:9">
      <c r="A16" s="6" t="s">
        <v>58</v>
      </c>
      <c r="B16" s="4">
        <f t="shared" ref="B16:H16" si="9">B10^2 /24 * B6^2 / B11^B10</f>
        <v>5.318140490013638E-3</v>
      </c>
      <c r="C16" s="4">
        <f t="shared" si="9"/>
        <v>2.3396698804162381E-3</v>
      </c>
      <c r="D16" s="4">
        <f t="shared" si="9"/>
        <v>1.7407700965640742E-3</v>
      </c>
      <c r="E16" s="4">
        <f t="shared" si="9"/>
        <v>1.447414508996479E-3</v>
      </c>
      <c r="F16" s="4">
        <f t="shared" si="9"/>
        <v>1.2652679246031551E-3</v>
      </c>
      <c r="G16" s="4">
        <f t="shared" si="9"/>
        <v>1.042973159023363E-3</v>
      </c>
      <c r="H16" s="4">
        <f t="shared" si="9"/>
        <v>8.1417066131051949E-4</v>
      </c>
      <c r="I16" s="8"/>
    </row>
    <row r="17" spans="1:12">
      <c r="A17" s="6" t="s">
        <v>56</v>
      </c>
      <c r="B17" s="4">
        <f t="shared" ref="B17:H17" si="10">B6*B7*B8*B9 / (4*B11^(B10/2))</f>
        <v>2.9227939826887896E-2</v>
      </c>
      <c r="C17" s="4">
        <f t="shared" si="10"/>
        <v>1.9386329667418732E-2</v>
      </c>
      <c r="D17" s="4">
        <f t="shared" si="10"/>
        <v>1.672203046873812E-2</v>
      </c>
      <c r="E17" s="4">
        <f t="shared" si="10"/>
        <v>1.5248065976790718E-2</v>
      </c>
      <c r="F17" s="4">
        <f t="shared" si="10"/>
        <v>1.4256389453985371E-2</v>
      </c>
      <c r="G17" s="4">
        <f t="shared" si="10"/>
        <v>1.2943593569395086E-2</v>
      </c>
      <c r="H17" s="4">
        <f t="shared" si="10"/>
        <v>1.143604948259304E-2</v>
      </c>
      <c r="I17" s="8"/>
    </row>
    <row r="18" spans="1:12">
      <c r="A18" s="6" t="s">
        <v>54</v>
      </c>
      <c r="B18" s="4">
        <f t="shared" ref="B18:H18" si="11">(2-3*B8^2)/24 * B9^2</f>
        <v>3.0809441792208365E-2</v>
      </c>
      <c r="C18" s="4">
        <f t="shared" si="11"/>
        <v>3.0809441792208365E-2</v>
      </c>
      <c r="D18" s="4">
        <f t="shared" si="11"/>
        <v>3.0809441792208365E-2</v>
      </c>
      <c r="E18" s="4">
        <f t="shared" si="11"/>
        <v>3.0809441792208365E-2</v>
      </c>
      <c r="F18" s="4">
        <f t="shared" si="11"/>
        <v>3.0809441792208365E-2</v>
      </c>
      <c r="G18" s="4">
        <f t="shared" si="11"/>
        <v>3.0809441792208365E-2</v>
      </c>
      <c r="H18" s="4">
        <f t="shared" si="11"/>
        <v>3.0809441792208365E-2</v>
      </c>
      <c r="I18" s="8"/>
    </row>
    <row r="19" spans="1:12">
      <c r="A19" s="6" t="s">
        <v>52</v>
      </c>
      <c r="B19" s="4">
        <f t="shared" ref="B19:H19" si="12">B11^ (0.5*B10)</f>
        <v>4.2813902858561445E-2</v>
      </c>
      <c r="C19" s="4">
        <f t="shared" si="12"/>
        <v>6.4548689616443264E-2</v>
      </c>
      <c r="D19" s="4">
        <f t="shared" si="12"/>
        <v>7.4833147735478805E-2</v>
      </c>
      <c r="E19" s="4">
        <f t="shared" si="12"/>
        <v>8.2066943992042826E-2</v>
      </c>
      <c r="F19" s="4">
        <f t="shared" si="12"/>
        <v>8.7775532545825583E-2</v>
      </c>
      <c r="G19" s="4">
        <f t="shared" si="12"/>
        <v>9.6678111051252638E-2</v>
      </c>
      <c r="H19" s="4">
        <f t="shared" si="12"/>
        <v>0.10942259198939042</v>
      </c>
      <c r="I19" s="8"/>
      <c r="L19" s="15"/>
    </row>
    <row r="20" spans="1:12">
      <c r="A20" s="6" t="s">
        <v>50</v>
      </c>
      <c r="B20" s="16">
        <f t="shared" ref="B20:H20" si="13" xml:space="preserve"> 1+B10^2/24 * B12^2 + B10^4/1920 * B12^ 4</f>
        <v>1.0527782686329452</v>
      </c>
      <c r="C20" s="16">
        <f t="shared" si="13"/>
        <v>1.003646813940207</v>
      </c>
      <c r="D20" s="16">
        <f t="shared" si="13"/>
        <v>1</v>
      </c>
      <c r="E20" s="16">
        <f t="shared" si="13"/>
        <v>1.0014196972505385</v>
      </c>
      <c r="F20" s="16">
        <f t="shared" si="13"/>
        <v>1.0042465998248895</v>
      </c>
      <c r="G20" s="16">
        <f t="shared" si="13"/>
        <v>1.0109692900230953</v>
      </c>
      <c r="H20" s="16">
        <f t="shared" si="13"/>
        <v>1.0242348308548701</v>
      </c>
      <c r="I20" s="8"/>
      <c r="L20" s="15"/>
    </row>
    <row r="21" spans="1:12">
      <c r="A21" s="3" t="s">
        <v>19</v>
      </c>
      <c r="B21" s="4">
        <f t="shared" ref="B21:H21" si="14">B6*(1+(B16+B17+B18)*B5) / (B19*B20) * B15</f>
        <v>0.89701544251519894</v>
      </c>
      <c r="C21" s="4">
        <f t="shared" si="14"/>
        <v>0.48496876240175474</v>
      </c>
      <c r="D21" s="4">
        <f t="shared" si="14"/>
        <v>0.44908026823656932</v>
      </c>
      <c r="E21" s="4">
        <f t="shared" si="14"/>
        <v>0.48925295048408918</v>
      </c>
      <c r="F21" s="4">
        <f t="shared" si="14"/>
        <v>0.52791820137078993</v>
      </c>
      <c r="G21" s="4">
        <f t="shared" si="14"/>
        <v>0.58327134659368041</v>
      </c>
      <c r="H21" s="4">
        <f t="shared" si="14"/>
        <v>0.64643421385388733</v>
      </c>
    </row>
    <row r="22" spans="1:12">
      <c r="A22" s="20" t="s">
        <v>18</v>
      </c>
      <c r="B22" s="21">
        <v>0.90780000000000005</v>
      </c>
      <c r="C22" s="21">
        <v>0.46089999999999998</v>
      </c>
      <c r="D22" s="21">
        <v>0.45300000000000001</v>
      </c>
      <c r="E22" s="21">
        <v>0.50170000000000003</v>
      </c>
      <c r="F22" s="21">
        <v>0.53849999999999998</v>
      </c>
      <c r="G22" s="21">
        <v>0.58420000000000005</v>
      </c>
      <c r="H22" s="21">
        <v>0.62719999999999998</v>
      </c>
      <c r="I22" s="38" t="s">
        <v>43</v>
      </c>
    </row>
    <row r="23" spans="1:12">
      <c r="A23" s="19" t="s">
        <v>17</v>
      </c>
      <c r="B23" s="16">
        <f>(B22-B21)^2</f>
        <v>1.1630668014297977E-4</v>
      </c>
      <c r="C23" s="16">
        <f t="shared" ref="C23:H23" si="15">(C22-C21)^2</f>
        <v>5.7930532355212369E-4</v>
      </c>
      <c r="D23" s="16">
        <f t="shared" si="15"/>
        <v>1.5364297097247463E-5</v>
      </c>
      <c r="E23" s="16">
        <f t="shared" si="15"/>
        <v>1.5492904165153671E-4</v>
      </c>
      <c r="F23" s="16">
        <f t="shared" si="15"/>
        <v>1.1197446222915166E-4</v>
      </c>
      <c r="G23" s="16">
        <f t="shared" si="15"/>
        <v>8.6239714906908171E-7</v>
      </c>
      <c r="H23" s="16">
        <f t="shared" si="15"/>
        <v>3.6995498257707204E-4</v>
      </c>
      <c r="I23" s="40" t="s">
        <v>97</v>
      </c>
    </row>
    <row r="24" spans="1:12">
      <c r="G24" s="15" t="s">
        <v>91</v>
      </c>
      <c r="H24" s="4">
        <f>SUM(B23:H23)/7</f>
        <v>1.9267102634274005E-4</v>
      </c>
      <c r="I24" s="40" t="s">
        <v>98</v>
      </c>
    </row>
    <row r="25" spans="1:12">
      <c r="G25" s="15" t="s">
        <v>100</v>
      </c>
      <c r="H25" s="4">
        <f>H24^0.5</f>
        <v>1.38805989187333E-2</v>
      </c>
      <c r="I25" s="40" t="s">
        <v>99</v>
      </c>
    </row>
  </sheetData>
  <phoneticPr fontId="6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8.2</vt:lpstr>
      <vt:lpstr>8.3b</vt:lpstr>
      <vt:lpstr>8.3a</vt:lpstr>
      <vt:lpstr>8.4</vt:lpstr>
      <vt:lpstr>8.6</vt:lpstr>
      <vt:lpstr>8.7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 O</cp:lastModifiedBy>
  <cp:lastPrinted>2014-07-25T05:57:19Z</cp:lastPrinted>
  <dcterms:created xsi:type="dcterms:W3CDTF">2008-08-13T03:15:15Z</dcterms:created>
  <dcterms:modified xsi:type="dcterms:W3CDTF">2025-01-17T02:08:55Z</dcterms:modified>
</cp:coreProperties>
</file>