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0400" firstSheet="3" activeTab="3"/>
  </bookViews>
  <sheets>
    <sheet name="Revision" sheetId="9" r:id="rId1"/>
    <sheet name="How to use" sheetId="8" r:id="rId2"/>
    <sheet name="Timing Parameters_SYNC_PULSE" sheetId="6" r:id="rId3"/>
    <sheet name="Timing Parameters_SYNC_EVENT" sheetId="7" r:id="rId4"/>
    <sheet name="Source" sheetId="3" r:id="rId5"/>
    <sheet name="Code" sheetId="14" r:id="rId6"/>
    <sheet name="Host Access" sheetId="12" r:id="rId7"/>
    <sheet name="Restriction" sheetId="2" r:id="rId8"/>
    <sheet name="H-PCLK" sheetId="11" r:id="rId9"/>
    <sheet name="Tool(LVMX-&gt;BitMapping)" sheetId="10" r:id="rId10"/>
  </sheets>
  <calcPr calcId="144525"/>
</workbook>
</file>

<file path=xl/comments1.xml><?xml version="1.0" encoding="utf-8"?>
<comments xmlns="http://schemas.openxmlformats.org/spreadsheetml/2006/main">
  <authors>
    <author>s.hayashi</author>
    <author>MOST</author>
  </authors>
  <commentList>
    <comment ref="CK1" authorId="0">
      <text>
        <r>
          <rPr>
            <b/>
            <sz val="9"/>
            <rFont val="Arial"/>
            <charset val="0"/>
          </rPr>
          <t>Select Product
for judgement</t>
        </r>
      </text>
    </comment>
    <comment ref="CN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LVCFG&lt;bit11-10&gt;
</t>
        </r>
      </text>
    </comment>
    <comment ref="U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VPCTRL&lt;bit17&gt;
</t>
        </r>
      </text>
    </comment>
    <comment ref="CJ5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PPI_LANEENABLE
DSI_LANEENABLE</t>
        </r>
      </text>
    </comment>
    <comment ref="CN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TC358764/65</t>
        </r>
        <r>
          <rPr>
            <b/>
            <sz val="9"/>
            <rFont val="MS PGothic"/>
            <charset val="0"/>
          </rPr>
          <t xml:space="preserve">
</t>
        </r>
        <r>
          <rPr>
            <sz val="9"/>
            <rFont val="MS PGothic"/>
            <charset val="0"/>
          </rPr>
          <t xml:space="preserve">LVCFG&lt;bit9-8&gt;
TC358774/75
LVCFG&lt;bit7-4&gt;
</t>
        </r>
      </text>
    </comment>
    <comment ref="CP5" authorId="1">
      <text>
        <r>
          <rPr>
            <sz val="9"/>
            <rFont val="Arial"/>
            <charset val="0"/>
          </rPr>
          <t>For TC358764/65
3,4,6,12 are allowed.
For TC358774/75
1~16 are allowd.</t>
        </r>
      </text>
    </comment>
    <comment ref="CJ6" authorId="0">
      <text>
        <r>
          <rPr>
            <b/>
            <sz val="9"/>
            <rFont val="MS PGothic"/>
            <charset val="0"/>
          </rPr>
          <t>Bit/pixel at host side</t>
        </r>
        <r>
          <rPr>
            <sz val="9"/>
            <rFont val="MS PGothic"/>
            <charset val="0"/>
          </rPr>
          <t xml:space="preserve">
RGB666 -&gt; 16bit
pRGB666 (Packed RGB666) -&gt; 18bit
lpRGB666 (Loosely Packed RGB666) -&gt; 24bit
RGB888 -&gt; 24bit</t>
        </r>
      </text>
    </comment>
    <comment ref="CN6" authorId="0">
      <text>
        <r>
          <rPr>
            <b/>
            <sz val="9"/>
            <rFont val="MS PGothic"/>
            <charset val="0"/>
          </rPr>
          <t>LVDS Clock Frequency</t>
        </r>
        <r>
          <rPr>
            <sz val="9"/>
            <rFont val="MS PGothic"/>
            <charset val="0"/>
          </rPr>
          <t xml:space="preserve">
When EXTCLK is selected as LVDS clock source, EXTCLK(CN3) becomes LVDS clock.
DSI is selected as LVDS clock source, LVDS clock is calculated using DSI clock frequency(CJ3), CN4 and CN5</t>
        </r>
      </text>
    </comment>
    <comment ref="CP6" authorId="1">
      <text>
        <r>
          <rPr>
            <sz val="9"/>
            <rFont val="Arial"/>
            <charset val="0"/>
          </rPr>
          <t>For TC358765/65
LVDS Clock =&lt;85MHz
For TC358774/75
LVDS Clock =&lt; 135</t>
        </r>
        <r>
          <rPr>
            <sz val="9"/>
            <rFont val="MS PGothic"/>
            <charset val="0"/>
          </rPr>
          <t xml:space="preserve">
</t>
        </r>
      </text>
    </comment>
    <comment ref="CJ7" authorId="0">
      <text>
        <r>
          <rPr>
            <b/>
            <sz val="9"/>
            <rFont val="MS PGothic"/>
            <charset val="0"/>
          </rPr>
          <t>Unit for Host DSI Timing</t>
        </r>
        <r>
          <rPr>
            <sz val="9"/>
            <rFont val="MS PGothic"/>
            <charset val="0"/>
          </rPr>
          <t xml:space="preserve">
Time: Unit is "ns"
H-CLK: Unit is Pixel Clock at host side(H-PCLK)
H-PCLK is set through CJ8 cell manually.
Basically Pixel Clock at host side is calculated by DSI clcok, DSI lane and Bit/pixel.Calculated vaule is shown in CK7 cell. HDP period at host side is calculated using this value.
Normally H-PCLK is same as this value. so please set same value to CJ8 cell.
If you need another H-PCLK value for HPW, HBP  and HFP period at host side, please set another value to CJ8 cell.</t>
        </r>
      </text>
    </comment>
    <comment ref="CK7" authorId="0">
      <text>
        <r>
          <rPr>
            <b/>
            <sz val="9"/>
            <rFont val="MS PGothic"/>
            <charset val="0"/>
          </rPr>
          <t>Calcurated Pixel Clock at host side</t>
        </r>
        <r>
          <rPr>
            <sz val="9"/>
            <rFont val="MS PGothic"/>
            <charset val="0"/>
          </rPr>
          <t xml:space="preserve">
Unit is "MHz"
DSI clock speed, DSI lane and Bit/pixel are used to calcurate the frequency</t>
        </r>
      </text>
    </comment>
    <comment ref="CN8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VPCTRL&lt;bit4&gt;
Lin Sync &lt;bit4&gt;=0
</t>
        </r>
      </text>
    </comment>
    <comment ref="U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VPCTRL&lt;bit18&gt;
</t>
        </r>
      </text>
    </comment>
    <comment ref="CN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VPCTRL&lt;bit8&gt;
</t>
        </r>
      </text>
    </comment>
    <comment ref="CJ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PPI_TX_RX_TA
PPI_LPTXTIMCNT</t>
        </r>
      </text>
    </comment>
    <comment ref="CN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VPCTRL&lt;bit0&gt;</t>
        </r>
      </text>
    </comment>
    <comment ref="CJ11" authorId="0">
      <text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D*SCLRSIPOCOUNT
</t>
        </r>
      </text>
    </comment>
    <comment ref="CN11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LVCFG&lt;bit1&gt;
</t>
        </r>
      </text>
    </comment>
    <comment ref="CJ12" authorId="0">
      <text>
        <r>
          <rPr>
            <b/>
            <sz val="9"/>
            <rFont val="MS PGothic"/>
            <charset val="0"/>
          </rPr>
          <t xml:space="preserve">Related Registers
</t>
        </r>
        <r>
          <rPr>
            <sz val="9"/>
            <rFont val="MS PGothic"/>
            <charset val="0"/>
          </rPr>
          <t xml:space="preserve">D*SCLRSIPOCOUNT
</t>
        </r>
      </text>
    </comment>
    <comment ref="CN12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LVPHY0&lt;bit10&gt;
</t>
        </r>
      </text>
    </comment>
    <comment ref="U13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VPCTRL&lt;bit31-20&gt;
For TC358764/65
1&lt;=Vsdelay&lt;=63
For TC358774/75
1&lt;=Vsdelay&lt;=1023</t>
        </r>
      </text>
    </comment>
    <comment ref="B1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VPCTRL&lt;bit19&gt;
</t>
        </r>
      </text>
    </comment>
    <comment ref="CR28" authorId="1">
      <text>
        <r>
          <rPr>
            <b/>
            <sz val="9"/>
            <rFont val="Arial"/>
            <charset val="0"/>
          </rPr>
          <t>For TC358764/65
1~63 are allowed.
For TC358774/75
1~1023 are allowed.</t>
        </r>
        <r>
          <rPr>
            <sz val="9"/>
            <rFont val="Arial"/>
            <charset val="0"/>
          </rPr>
          <t xml:space="preserve">
</t>
        </r>
      </text>
    </comment>
    <comment ref="BX61" authorId="0">
      <text>
        <r>
          <rPr>
            <b/>
            <sz val="9"/>
            <rFont val="MS PGothic"/>
            <charset val="0"/>
          </rPr>
          <t xml:space="preserve">LVDS bit mapping
Dflt: </t>
        </r>
        <r>
          <rPr>
            <sz val="9"/>
            <rFont val="MS PGothic"/>
            <charset val="0"/>
          </rPr>
          <t>Use default mapping</t>
        </r>
        <r>
          <rPr>
            <b/>
            <sz val="9"/>
            <rFont val="MS PGothic"/>
            <charset val="0"/>
          </rPr>
          <t xml:space="preserve">
Mdfy: </t>
        </r>
        <r>
          <rPr>
            <sz val="9"/>
            <rFont val="MS PGothic"/>
            <charset val="0"/>
          </rPr>
          <t xml:space="preserve">Use bit mapping at the left
</t>
        </r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LVMX0003
LVMX0407
LVMX0811
LVMX1215
LVMX1619
LVMX2023
LVMX2427</t>
        </r>
      </text>
    </comment>
  </commentList>
</comments>
</file>

<file path=xl/comments2.xml><?xml version="1.0" encoding="utf-8"?>
<comments xmlns="http://schemas.openxmlformats.org/spreadsheetml/2006/main">
  <authors>
    <author>s.hayashi</author>
    <author>MOST</author>
  </authors>
  <commentList>
    <comment ref="CK1" authorId="0">
      <text>
        <r>
          <rPr>
            <b/>
            <sz val="9"/>
            <rFont val="Arial"/>
            <charset val="0"/>
          </rPr>
          <t>Select Product
for judgement</t>
        </r>
      </text>
    </comment>
    <comment ref="AC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HTIM1&lt;bit8-0&gt;
</t>
        </r>
      </text>
    </comment>
    <comment ref="AH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HTIM1&lt;bit24-16&gt;
</t>
        </r>
      </text>
    </comment>
    <comment ref="CN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LVCFG&lt;bit11-10&gt;
</t>
        </r>
      </text>
    </comment>
    <comment ref="U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VPCTRL&lt;bit17&gt;
</t>
        </r>
      </text>
    </comment>
    <comment ref="CJ5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PPI_LANEENABLE
DSI_LANEENABLE</t>
        </r>
      </text>
    </comment>
    <comment ref="CN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TC358764/65</t>
        </r>
        <r>
          <rPr>
            <b/>
            <sz val="9"/>
            <rFont val="MS PGothic"/>
            <charset val="0"/>
          </rPr>
          <t xml:space="preserve">
</t>
        </r>
        <r>
          <rPr>
            <sz val="9"/>
            <rFont val="MS PGothic"/>
            <charset val="0"/>
          </rPr>
          <t xml:space="preserve">LVCFG&lt;bit9-8&gt;
TC358774/75
LVCFG&lt;bit7-4&gt;
</t>
        </r>
      </text>
    </comment>
    <comment ref="CP5" authorId="1">
      <text>
        <r>
          <rPr>
            <sz val="9"/>
            <rFont val="Arial"/>
            <charset val="0"/>
          </rPr>
          <t>For TC358764/65
3,4,6,12 are allowed.
For TC358774/75
1~16 are allowd.</t>
        </r>
      </text>
    </comment>
    <comment ref="CJ6" authorId="0">
      <text>
        <r>
          <rPr>
            <b/>
            <sz val="9"/>
            <rFont val="MS PGothic"/>
            <charset val="0"/>
          </rPr>
          <t>Bit/pixel at host side</t>
        </r>
        <r>
          <rPr>
            <sz val="9"/>
            <rFont val="MS PGothic"/>
            <charset val="0"/>
          </rPr>
          <t xml:space="preserve">
RGB666 -&gt; 16bit
pRGB666 (Packed RGB666) -&gt; 18bit
lpRGB666 (Loosely Packed RGB666) -&gt; 24bit
RGB888 -&gt; 24bit</t>
        </r>
      </text>
    </comment>
    <comment ref="CN6" authorId="0">
      <text>
        <r>
          <rPr>
            <b/>
            <sz val="9"/>
            <rFont val="MS PGothic"/>
            <charset val="0"/>
          </rPr>
          <t>LVDS Clock Frequency</t>
        </r>
        <r>
          <rPr>
            <sz val="9"/>
            <rFont val="MS PGothic"/>
            <charset val="0"/>
          </rPr>
          <t xml:space="preserve">
When EXTCLK is selected as LVDS clock source, EXTCLK(CN3) becomes LVDS clock.
DSI is selected as LVDS clock source, LVDS clock is calculated using DSI clock frequency(CJ3), CN4 and CN5</t>
        </r>
      </text>
    </comment>
    <comment ref="CP6" authorId="1">
      <text>
        <r>
          <rPr>
            <sz val="9"/>
            <rFont val="Arial"/>
            <charset val="0"/>
          </rPr>
          <t>For TC358765/65
LVDS Clock =&lt;85MHz
For TC358774/75
LVDS Clock =&lt; 135</t>
        </r>
        <r>
          <rPr>
            <sz val="9"/>
            <rFont val="MS PGothic"/>
            <charset val="0"/>
          </rPr>
          <t xml:space="preserve">
</t>
        </r>
      </text>
    </comment>
    <comment ref="CJ7" authorId="0">
      <text>
        <r>
          <rPr>
            <b/>
            <sz val="9"/>
            <rFont val="MS PGothic"/>
            <charset val="0"/>
          </rPr>
          <t>Unit for Host DSI Timing</t>
        </r>
        <r>
          <rPr>
            <sz val="9"/>
            <rFont val="MS PGothic"/>
            <charset val="0"/>
          </rPr>
          <t xml:space="preserve">
Time: Unit is "ns"
H-CLK: Unit is Pixel Clock at host side(H-PCLK)
H-PCLK is set through CJ8 cell manually.
Basically Pixel Clock at host side is calculated by DSI clcok, DSI lane and Bit/pixel.Calculated vaule is shown in CK7 cell. HDP period at host side is calculated using this value.
Normally H-PCLK is same as this value. so please set same value to CJ8 cell.
If you need another H-PCLK value for HBP and HFP period at host side, please set another value to CJ8 cell.</t>
        </r>
      </text>
    </comment>
    <comment ref="CK7" authorId="0">
      <text>
        <r>
          <rPr>
            <b/>
            <sz val="9"/>
            <rFont val="MS PGothic"/>
            <charset val="0"/>
          </rPr>
          <t>Calcurated Pixel Clock at host side</t>
        </r>
        <r>
          <rPr>
            <sz val="9"/>
            <rFont val="MS PGothic"/>
            <charset val="0"/>
          </rPr>
          <t xml:space="preserve">
Unit is "MHz"
DSI clock speed, DSI lane and Bit/pixel are used to calcurate the frequency</t>
        </r>
      </text>
    </comment>
    <comment ref="CN8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VPCTRL&lt;bit4&gt;
Lin Sync &lt;bit4&gt;=0
</t>
        </r>
      </text>
    </comment>
    <comment ref="U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VPCTRL&lt;bit18&gt;
</t>
        </r>
      </text>
    </comment>
    <comment ref="CN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VPCTRL&lt;bit8&gt;
</t>
        </r>
      </text>
    </comment>
    <comment ref="CJ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PPI_TX_RX_TA
PPI_LPTXTIMCNT</t>
        </r>
      </text>
    </comment>
    <comment ref="CN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VPCTRL&lt;bit0&gt;</t>
        </r>
      </text>
    </comment>
    <comment ref="CJ11" authorId="0">
      <text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D*SCLRSIPOCOUNT
</t>
        </r>
      </text>
    </comment>
    <comment ref="CN11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LVCFG&lt;bit1&gt;
</t>
        </r>
      </text>
    </comment>
    <comment ref="CJ12" authorId="0">
      <text>
        <r>
          <rPr>
            <b/>
            <sz val="9"/>
            <rFont val="MS PGothic"/>
            <charset val="0"/>
          </rPr>
          <t xml:space="preserve">Related Registers
</t>
        </r>
        <r>
          <rPr>
            <sz val="9"/>
            <rFont val="MS PGothic"/>
            <charset val="0"/>
          </rPr>
          <t xml:space="preserve">D*SCLRSIPOCOUNT
</t>
        </r>
      </text>
    </comment>
    <comment ref="CN12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LVPHY0&lt;bit10&gt;
</t>
        </r>
      </text>
    </comment>
    <comment ref="U13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VPCTRL&lt;bit31-20&gt;
For TC358764/65
1&lt;=Vsdelay&lt;=63
For TC358774/75
1&lt;=Vsdelay&lt;=1023</t>
        </r>
      </text>
    </comment>
    <comment ref="AF17" authorId="0">
      <text>
        <r>
          <rPr>
            <sz val="9"/>
            <rFont val="MS PGothic"/>
            <charset val="0"/>
          </rPr>
          <t>Host can decide this value
Please set as short as possible at host side
When H-PCLK is selected at CJ7, unit of the value becomes CJ8.
Please refer t to "H-PCLK" sheet to check the range this value covers.</t>
        </r>
      </text>
    </comment>
    <comment ref="BO17" authorId="0">
      <text>
        <r>
          <rPr>
            <sz val="9"/>
            <rFont val="MS PGothic"/>
            <charset val="0"/>
          </rPr>
          <t>When H-PCLK is selected at CJ7, unit of the value becomes CJ8.
Please refer t to "H-PCLK" sheet to check the range this value covers.</t>
        </r>
      </text>
    </comment>
    <comment ref="B1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VPCTRL&lt;bit19&gt;
</t>
        </r>
      </text>
    </comment>
    <comment ref="B26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VTIM1&lt;bit7-0&gt;
</t>
        </r>
      </text>
    </comment>
    <comment ref="CR28" authorId="1">
      <text>
        <r>
          <rPr>
            <b/>
            <sz val="9"/>
            <rFont val="Arial"/>
            <charset val="0"/>
          </rPr>
          <t>For TC358764/65
1~63 are allowed.
For TC358774/75
1~1023 are allowed.</t>
        </r>
        <r>
          <rPr>
            <sz val="9"/>
            <rFont val="Arial"/>
            <charset val="0"/>
          </rPr>
          <t xml:space="preserve">
</t>
        </r>
      </text>
    </comment>
    <comment ref="BX61" authorId="0">
      <text>
        <r>
          <rPr>
            <b/>
            <sz val="9"/>
            <rFont val="MS PGothic"/>
            <charset val="0"/>
          </rPr>
          <t xml:space="preserve">LVDS bit mapping
Dflt: </t>
        </r>
        <r>
          <rPr>
            <sz val="9"/>
            <rFont val="MS PGothic"/>
            <charset val="0"/>
          </rPr>
          <t>Use default mapping</t>
        </r>
        <r>
          <rPr>
            <b/>
            <sz val="9"/>
            <rFont val="MS PGothic"/>
            <charset val="0"/>
          </rPr>
          <t xml:space="preserve">
Mdfy: </t>
        </r>
        <r>
          <rPr>
            <sz val="9"/>
            <rFont val="MS PGothic"/>
            <charset val="0"/>
          </rPr>
          <t xml:space="preserve">Use bit mapping at the left
</t>
        </r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LVMX0003
LVMX0407
LVMX0811
LVMX1215
LVMX1619
LVMX2023
LVMX2427</t>
        </r>
      </text>
    </comment>
  </commentList>
</comments>
</file>

<file path=xl/comments3.xml><?xml version="1.0" encoding="utf-8"?>
<comments xmlns="http://schemas.openxmlformats.org/spreadsheetml/2006/main">
  <authors>
    <author>s.hayashi</author>
  </authors>
  <commentList>
    <comment ref="G1" authorId="0">
      <text>
        <r>
          <rPr>
            <b/>
            <sz val="9"/>
            <rFont val="MS PGothic"/>
            <charset val="0"/>
          </rPr>
          <t>Host DSI mode</t>
        </r>
        <r>
          <rPr>
            <sz val="9"/>
            <rFont val="MS PGothic"/>
            <charset val="0"/>
          </rPr>
          <t xml:space="preserve">
When "Sync Event Mode" is selected "Timing_Parameters_SYNC_EVENT" sheet is referred.
When "Sync Pulse Mode" is selected, "Timing_Parameters_SYNC_PULSE" sheet is referred.</t>
        </r>
      </text>
    </comment>
  </commentList>
</comments>
</file>

<file path=xl/sharedStrings.xml><?xml version="1.0" encoding="utf-8"?>
<sst xmlns="http://schemas.openxmlformats.org/spreadsheetml/2006/main" count="1111" uniqueCount="485">
  <si>
    <t>How to use</t>
  </si>
  <si>
    <t>Timing_Parameters_SYNC_PULSE Timing_Parameters_SYNC_EVENT</t>
  </si>
  <si>
    <t>Source</t>
  </si>
  <si>
    <t>Code</t>
  </si>
  <si>
    <t>Rev</t>
  </si>
  <si>
    <t>Note</t>
  </si>
  <si>
    <t>Tv01</t>
  </si>
  <si>
    <t>v01</t>
  </si>
  <si>
    <t>1st Editon</t>
  </si>
  <si>
    <t>Tv02</t>
  </si>
  <si>
    <t>v02</t>
  </si>
  <si>
    <t>"Timing_Parameters_SYNC_PULSE"</t>
  </si>
  <si>
    <t>Modify CSI clock range judgement(CL3)</t>
  </si>
  <si>
    <t>"Timing_Parameters_SYNC_EVENT"</t>
  </si>
  <si>
    <t>Tv03</t>
  </si>
  <si>
    <t>Change conversion method</t>
  </si>
  <si>
    <t>Tv04</t>
  </si>
  <si>
    <t>v03</t>
  </si>
  <si>
    <t>Modify "CPLB768 DSI format" converison</t>
  </si>
  <si>
    <t>Tv05</t>
  </si>
  <si>
    <t>TC358764/65-&gt;TC358774/75</t>
  </si>
  <si>
    <t>v04</t>
  </si>
  <si>
    <t>Modify "TS5000 I2C format" conversion</t>
  </si>
  <si>
    <t>Midify CK56 formula</t>
  </si>
  <si>
    <t>Tv06</t>
  </si>
  <si>
    <t>Modify judgement formula of CR28</t>
  </si>
  <si>
    <t>Tv07</t>
  </si>
  <si>
    <t>v05</t>
  </si>
  <si>
    <t>Modify product name</t>
  </si>
  <si>
    <t>Tv08</t>
  </si>
  <si>
    <t>v06</t>
  </si>
  <si>
    <t>Modify judgement formula of CR36</t>
  </si>
  <si>
    <t>Tv09</t>
  </si>
  <si>
    <t>Add TC358764/65, TC358774/75 selection</t>
  </si>
  <si>
    <t>v07</t>
  </si>
  <si>
    <t>Modify format to support both TC358764/65 and TC358774/75.</t>
  </si>
  <si>
    <t>Tv10</t>
  </si>
  <si>
    <t>v08</t>
  </si>
  <si>
    <t>Add LVDS clock frequency judgement cell. (CP6)</t>
  </si>
  <si>
    <t>Tv11</t>
  </si>
  <si>
    <t>v09</t>
  </si>
  <si>
    <t>Add comment to 0x0450 and 0x045C</t>
  </si>
  <si>
    <t xml:space="preserve">Modify conmment U13 </t>
  </si>
  <si>
    <t>Modify CK56</t>
  </si>
  <si>
    <t>Change comment of CN4 and CN5</t>
  </si>
  <si>
    <t>Add CS6</t>
  </si>
  <si>
    <t>Chang formula of CP6</t>
  </si>
  <si>
    <t>How to use (v02)</t>
  </si>
  <si>
    <t>Select TC358764/65 or TC358774/75 by CK1</t>
  </si>
  <si>
    <t>Select DSI transmission mode. (SYNC_EVENT mode or SYNC_PULSE mode). SYNC_EVENT mode is recommended</t>
  </si>
  <si>
    <t xml:space="preserve">Select corresponding Timing Parameters sheet. </t>
  </si>
  <si>
    <t>SYNC EVENT mode -&gt; "Timing_Parameters_SYNC_EVENT" sheet.   SYNC_PULSE mode -&gt; "Timing_Parameters_SYNC_PULSE" sheet.</t>
  </si>
  <si>
    <t>Fill parameters to yellow cell, orange cell and color mapping cell(if needed) at selected sheet.</t>
  </si>
  <si>
    <t>Step:</t>
  </si>
  <si>
    <t>(1) Fill LVDS timing paramters</t>
  </si>
  <si>
    <t>(2) Fill host DSI timing parameters</t>
  </si>
  <si>
    <t xml:space="preserve">(3) Timing which host should follow to realize LVDS timing is calculated on blue cells at host DSI timing. </t>
  </si>
  <si>
    <t xml:space="preserve">     Unit for DSI timing is set by CJ7 cell.</t>
  </si>
  <si>
    <t>* CN8="Line" is recommended mode</t>
  </si>
  <si>
    <t>Check judge columns at "Timing_Paramerers_SYNC_****" sheet.</t>
  </si>
  <si>
    <t xml:space="preserve">If "NG" appears at the columns, change paramters again until "NG" display disappears. </t>
  </si>
  <si>
    <t>Please refer to "comment","Countermeasure for Error" and "Restriction" sheet for parameter adjustment.</t>
  </si>
  <si>
    <t>Select "Sync Event Mode" or "Sync Pulse Mode" in "Source" sheet according to the DSI mode, then code which should be set to TC358764/65XBG,TC358774/75XBG is displayed in "Source" sheet.</t>
  </si>
  <si>
    <t>Host should keep the timing displayed at "Host DSI timing" part in the "Timing_Parameters_SYNC_****" sheet.</t>
  </si>
  <si>
    <t>General Parameters</t>
  </si>
  <si>
    <t>TC358774/75</t>
  </si>
  <si>
    <t>HPW</t>
  </si>
  <si>
    <t>HBPR</t>
  </si>
  <si>
    <t>HDISPR</t>
  </si>
  <si>
    <t>HFPR</t>
  </si>
  <si>
    <t>Host</t>
  </si>
  <si>
    <t>Judge</t>
  </si>
  <si>
    <t>TC358764/65, TC358774/75</t>
  </si>
  <si>
    <t>Range/Unit</t>
  </si>
  <si>
    <t>Value</t>
  </si>
  <si>
    <t>SPEC(min)</t>
  </si>
  <si>
    <t>SPEC(max)</t>
  </si>
  <si>
    <t>Unit</t>
  </si>
  <si>
    <t>(*PCLK)</t>
  </si>
  <si>
    <t>DSI Clock (Host)</t>
  </si>
  <si>
    <t>MHz</t>
  </si>
  <si>
    <t>EXTCLK</t>
  </si>
  <si>
    <t>Active</t>
  </si>
  <si>
    <t>Byte Clock</t>
  </si>
  <si>
    <t>Pixel Clock Source (DSI/1,2,4)</t>
  </si>
  <si>
    <t>1,2,4</t>
  </si>
  <si>
    <t>L</t>
  </si>
  <si>
    <t>DSI lane</t>
  </si>
  <si>
    <t>lane</t>
  </si>
  <si>
    <t>Pixel Clock Divider</t>
  </si>
  <si>
    <t>3,4,6,12(764/5) 1~16(774/5)</t>
  </si>
  <si>
    <t>HSYNC</t>
  </si>
  <si>
    <t>Bit/pixel</t>
  </si>
  <si>
    <t>RGB888</t>
  </si>
  <si>
    <t>LVDS Clock</t>
  </si>
  <si>
    <t>Unit for DSI timing</t>
  </si>
  <si>
    <t>Time</t>
  </si>
  <si>
    <t>LVDS Clk Source DSI or EXTCLK</t>
  </si>
  <si>
    <t>DSI</t>
  </si>
  <si>
    <t>LVDS out</t>
  </si>
  <si>
    <t>H-PCLK</t>
  </si>
  <si>
    <t>SYNC mode Line or Frame</t>
  </si>
  <si>
    <t>Line</t>
  </si>
  <si>
    <t>DE</t>
  </si>
  <si>
    <t>H</t>
  </si>
  <si>
    <t>SYNC PULSE/EVENT</t>
  </si>
  <si>
    <t>SYNC_PULSE</t>
  </si>
  <si>
    <t>LVDS Output format</t>
  </si>
  <si>
    <t>RGB666</t>
  </si>
  <si>
    <t>LPTX time (TLPX)</t>
  </si>
  <si>
    <t>ns</t>
  </si>
  <si>
    <t>LVDS Output MSF</t>
  </si>
  <si>
    <t>OFF</t>
  </si>
  <si>
    <t>Vsdelay</t>
  </si>
  <si>
    <t>THS-PREPARE</t>
  </si>
  <si>
    <t>LVDS Link</t>
  </si>
  <si>
    <t>Single</t>
  </si>
  <si>
    <t>THS-ZERO</t>
  </si>
  <si>
    <t>LVDS amplitude</t>
  </si>
  <si>
    <t>Normal</t>
  </si>
  <si>
    <t>PPI_LPTXTIMECNT</t>
  </si>
  <si>
    <t>D0-3S_CLRSIPCOUNT</t>
  </si>
  <si>
    <t>HPW(DSI)</t>
  </si>
  <si>
    <t>HBP(DSI)</t>
  </si>
  <si>
    <t>HDP(DSI)</t>
  </si>
  <si>
    <t>HFP(DSI)</t>
  </si>
  <si>
    <t>+THS-ZERO</t>
  </si>
  <si>
    <t>Manual Setting</t>
  </si>
  <si>
    <t>Horizontal Related Parameters</t>
  </si>
  <si>
    <t>Value and judge of D0-3S_CLRSIPCOUNT is a example. Appropriate value depends on host THS-PREPARE and THS-ZERO parameters.For more detail information, please contact to TOSHIBA</t>
  </si>
  <si>
    <t>DSI in(Host)</t>
  </si>
  <si>
    <t>Pixel Stream Packet</t>
  </si>
  <si>
    <t>Time(ns)</t>
  </si>
  <si>
    <t>Pixel</t>
  </si>
  <si>
    <t>Dev(ns)</t>
  </si>
  <si>
    <t>Count Clock</t>
  </si>
  <si>
    <t>HSS</t>
  </si>
  <si>
    <t>HBP</t>
  </si>
  <si>
    <t>HBPR(Pixel)</t>
  </si>
  <si>
    <t>0-510, should be multiple of 2</t>
  </si>
  <si>
    <t>Pixel Clock</t>
  </si>
  <si>
    <t>HFP</t>
  </si>
  <si>
    <t>HFPR(Pixel)</t>
  </si>
  <si>
    <t>VPW</t>
  </si>
  <si>
    <t>HPW(Pixel)</t>
  </si>
  <si>
    <t>(DSI)</t>
  </si>
  <si>
    <t>HDP</t>
  </si>
  <si>
    <t>HDISPR(Pixel)</t>
  </si>
  <si>
    <t>0-2046, should be multiple of 2</t>
  </si>
  <si>
    <t>VSPR</t>
  </si>
  <si>
    <t>(*line)</t>
  </si>
  <si>
    <t>VSS</t>
  </si>
  <si>
    <t>HPW+HBP</t>
  </si>
  <si>
    <t>HPW+HBPR+VS Delay</t>
  </si>
  <si>
    <t>HPW+HBP+HDP</t>
  </si>
  <si>
    <t>HPW+HBPR+HDISPR+VS Delay</t>
  </si>
  <si>
    <t>H Total</t>
  </si>
  <si>
    <t>H Total(Pixel)</t>
  </si>
  <si>
    <t>VBP</t>
  </si>
  <si>
    <t>H Blanking</t>
  </si>
  <si>
    <t>H Blanking (Pixel)</t>
  </si>
  <si>
    <t>VS Delay</t>
  </si>
  <si>
    <t>VBPR</t>
  </si>
  <si>
    <t>Vertical Related Parameters</t>
  </si>
  <si>
    <t>line</t>
  </si>
  <si>
    <t>Time(ms)</t>
  </si>
  <si>
    <t>VBPR(Line)</t>
  </si>
  <si>
    <t>0-255</t>
  </si>
  <si>
    <t>VFP</t>
  </si>
  <si>
    <t>VFPR(Line)</t>
  </si>
  <si>
    <t>VSPR(Line)</t>
  </si>
  <si>
    <t>VDP</t>
  </si>
  <si>
    <t>VDISPR(Line)</t>
  </si>
  <si>
    <t>0-2027</t>
  </si>
  <si>
    <t>VDISPR</t>
  </si>
  <si>
    <t>VPW+VBP</t>
  </si>
  <si>
    <t>V Total</t>
  </si>
  <si>
    <t>V Total(Line)</t>
  </si>
  <si>
    <t>V Blanking</t>
  </si>
  <si>
    <t>V Blanking(Line)</t>
  </si>
  <si>
    <t>Frame rate</t>
  </si>
  <si>
    <t>fps</t>
  </si>
  <si>
    <t>Register Value of TC358764/65,TC358774/75</t>
  </si>
  <si>
    <t>Comment</t>
  </si>
  <si>
    <t>Register name</t>
  </si>
  <si>
    <t>Address</t>
  </si>
  <si>
    <t>Value(hex)</t>
  </si>
  <si>
    <t>TX_RX_TA</t>
  </si>
  <si>
    <t>0x13C</t>
  </si>
  <si>
    <t>VFPR</t>
  </si>
  <si>
    <t>LPXTIMECNT</t>
  </si>
  <si>
    <t>0x114</t>
  </si>
  <si>
    <t>D0S_CLRSIPOCOUNT</t>
  </si>
  <si>
    <t>0x164</t>
  </si>
  <si>
    <t>D1S_CLRSIPOCOUNT</t>
  </si>
  <si>
    <t>0x168</t>
  </si>
  <si>
    <t>D2S_CLRSIPOCOUNT</t>
  </si>
  <si>
    <t>0x16C</t>
  </si>
  <si>
    <t>D3S_CLRSIPOCOUNT</t>
  </si>
  <si>
    <t>0x170</t>
  </si>
  <si>
    <t>PPI_LANEENABLE</t>
  </si>
  <si>
    <t>0x134</t>
  </si>
  <si>
    <t>DSI_LANEENABLE</t>
  </si>
  <si>
    <t>0x210</t>
  </si>
  <si>
    <t>Countermeasure for Error</t>
  </si>
  <si>
    <t>LVTX1DP</t>
  </si>
  <si>
    <t>Error1: DSI cannot transfer 1line with required timing</t>
  </si>
  <si>
    <t>(Clock)</t>
  </si>
  <si>
    <t>VPCTRL</t>
  </si>
  <si>
    <t>0x450</t>
  </si>
  <si>
    <t xml:space="preserve">Try faster DSI speed. Try less bit per pixel at DSI. Try slower PCLK(LVDS). Try longer LVDS 1line timing by adding more blanking. </t>
  </si>
  <si>
    <t>HTIM1</t>
  </si>
  <si>
    <t>0x454</t>
  </si>
  <si>
    <t>LVTX1AP/N</t>
  </si>
  <si>
    <t>G0</t>
  </si>
  <si>
    <t>R5</t>
  </si>
  <si>
    <t>R4</t>
  </si>
  <si>
    <t>R3</t>
  </si>
  <si>
    <t>R2</t>
  </si>
  <si>
    <t>R1</t>
  </si>
  <si>
    <t>R0</t>
  </si>
  <si>
    <t>HTIM2</t>
  </si>
  <si>
    <t>0x458</t>
  </si>
  <si>
    <t>Error2: Data picking timing at LVDS is faster than data putting timing at DSI</t>
  </si>
  <si>
    <t>VTIM1</t>
  </si>
  <si>
    <t>0x45C</t>
  </si>
  <si>
    <t>Try faster DSI speed. Try less "bit per pixel" at DSI.  Try slower PCLK(LVDS). Try longer VS dealy.</t>
  </si>
  <si>
    <t>LVTX1BP/N</t>
  </si>
  <si>
    <t>B1</t>
  </si>
  <si>
    <t>B0</t>
  </si>
  <si>
    <t>G5</t>
  </si>
  <si>
    <t>G4</t>
  </si>
  <si>
    <t>G3</t>
  </si>
  <si>
    <t>G2</t>
  </si>
  <si>
    <t>G1</t>
  </si>
  <si>
    <t>Color Mapping</t>
  </si>
  <si>
    <t>VTIM2</t>
  </si>
  <si>
    <t>0x460</t>
  </si>
  <si>
    <t>Dflt</t>
  </si>
  <si>
    <t>LVCFG</t>
  </si>
  <si>
    <t>0x49C</t>
  </si>
  <si>
    <t>Error3: Data picking timing at LVDS is faster than data putting timing at DSI from the beginning of the line.</t>
  </si>
  <si>
    <t>LVTX1CP/N</t>
  </si>
  <si>
    <t>VSY</t>
  </si>
  <si>
    <t>HSY</t>
  </si>
  <si>
    <t>B5</t>
  </si>
  <si>
    <t>B4</t>
  </si>
  <si>
    <t>B3</t>
  </si>
  <si>
    <t>B2</t>
  </si>
  <si>
    <t>LVPHY0</t>
  </si>
  <si>
    <t>0x4A0</t>
  </si>
  <si>
    <t>Try longer VS dealy.</t>
  </si>
  <si>
    <t>LVTX1EP/N</t>
  </si>
  <si>
    <t>B7</t>
  </si>
  <si>
    <t>B6</t>
  </si>
  <si>
    <t>G7</t>
  </si>
  <si>
    <t>G6</t>
  </si>
  <si>
    <t>R7</t>
  </si>
  <si>
    <t>R6</t>
  </si>
  <si>
    <t>LVMX0003</t>
  </si>
  <si>
    <t>0x480</t>
  </si>
  <si>
    <t>LVMX0407</t>
  </si>
  <si>
    <t>0x484</t>
  </si>
  <si>
    <t>LVMX0811</t>
  </si>
  <si>
    <t>0x488</t>
  </si>
  <si>
    <t>LVMX1215</t>
  </si>
  <si>
    <t>0x48C</t>
  </si>
  <si>
    <t>LVMX1619</t>
  </si>
  <si>
    <t>0x490</t>
  </si>
  <si>
    <t>LVMX2023</t>
  </si>
  <si>
    <t>0x494</t>
  </si>
  <si>
    <t>LVMX2427</t>
  </si>
  <si>
    <t>0x498</t>
  </si>
  <si>
    <r>
      <t>M</t>
    </r>
    <r>
      <rPr>
        <sz val="11"/>
        <rFont val="ＭＳ Ｐゴシック"/>
        <family val="3"/>
        <charset val="128"/>
      </rPr>
      <t>Hz</t>
    </r>
  </si>
  <si>
    <t>SYNC_EVENT</t>
  </si>
  <si>
    <t>Normal:350mV(typ), Reduced:225mV(typ)</t>
  </si>
  <si>
    <r>
      <t>n</t>
    </r>
    <r>
      <rPr>
        <sz val="11"/>
        <rFont val="ＭＳ Ｐゴシック"/>
        <family val="3"/>
        <charset val="128"/>
      </rPr>
      <t>s</t>
    </r>
  </si>
  <si>
    <t>HBP+HDP</t>
  </si>
  <si>
    <t>Register Value of TC358774/75XBG</t>
  </si>
  <si>
    <t xml:space="preserve">Try faster DSI speed. Try shorter HBP(DSI). Try less bit per pixel at DSI. Try slower PCLK(LVDS). Try longer LVDS 1line timing by adding more blanking. </t>
  </si>
  <si>
    <t>Try faster DSI speed. Try shorter HBP(DSI). Try less bit per pixel at DSI. Try slower PCLK(LVDS). Try longer HPW(LVDS)+HBP(LVDS). Try longer VS dealy.</t>
  </si>
  <si>
    <t>Mdfy</t>
  </si>
  <si>
    <t>Try faster DSI speed. Try shorter HBP(DSI). Try slower PCLK(LVDS). Try longer HPW(LVDS)+HBP(LVDS). Try longer VS dealy.</t>
  </si>
  <si>
    <t>Cmd</t>
  </si>
  <si>
    <t>Addr</t>
  </si>
  <si>
    <t>Data</t>
  </si>
  <si>
    <t>DSI mode</t>
  </si>
  <si>
    <t>Sync Event Mode</t>
  </si>
  <si>
    <t>Referring to other sheet</t>
  </si>
  <si>
    <t>Depends on Host and LCDM</t>
  </si>
  <si>
    <t>REM</t>
  </si>
  <si>
    <t>**************************************************</t>
  </si>
  <si>
    <r>
      <t xml:space="preserve">TC358774/75XBG DSI Basic Parameters.  </t>
    </r>
    <r>
      <rPr>
        <b/>
        <sz val="11"/>
        <rFont val="Arial"/>
        <family val="2"/>
        <charset val="0"/>
      </rPr>
      <t>Following 10 setting should be pefromed in LP mode</t>
    </r>
  </si>
  <si>
    <t>WR</t>
  </si>
  <si>
    <t>013C</t>
  </si>
  <si>
    <t>PPI_TX_RX_TA  BTA parameters</t>
  </si>
  <si>
    <t>LP</t>
  </si>
  <si>
    <t>0114</t>
  </si>
  <si>
    <t>PPI_LPTXTIMCNT</t>
  </si>
  <si>
    <t>0164</t>
  </si>
  <si>
    <t>PPI_D0S_CLRSIPOCOUNT</t>
  </si>
  <si>
    <t>0168</t>
  </si>
  <si>
    <t>PPI_D1S_CLRSIPOCOUNT</t>
  </si>
  <si>
    <t>016C</t>
  </si>
  <si>
    <t>PPI_D2S_CLRSIPOCOUNT</t>
  </si>
  <si>
    <t>0170</t>
  </si>
  <si>
    <t>PPI_D3S_CLRSIPOCOUNT</t>
  </si>
  <si>
    <t>0134</t>
  </si>
  <si>
    <t>0210</t>
  </si>
  <si>
    <t>0104</t>
  </si>
  <si>
    <t>00000001</t>
  </si>
  <si>
    <t>PPI_SARTPPI</t>
  </si>
  <si>
    <t>0204</t>
  </si>
  <si>
    <t>DSI_SARTPPI</t>
  </si>
  <si>
    <t>TC358774/75XBG Timing and mode setting</t>
  </si>
  <si>
    <t>0450</t>
  </si>
  <si>
    <t>LP or HS</t>
  </si>
  <si>
    <t>* To use common setting both for TC358764/65 and TC358774/75,setting to reseved bit is added.</t>
  </si>
  <si>
    <t>0454</t>
  </si>
  <si>
    <t>0458</t>
  </si>
  <si>
    <t>045C</t>
  </si>
  <si>
    <t>0460</t>
  </si>
  <si>
    <t>0464</t>
  </si>
  <si>
    <t>VFUEN</t>
  </si>
  <si>
    <t>04A0</t>
  </si>
  <si>
    <t>delay</t>
  </si>
  <si>
    <t>100</t>
  </si>
  <si>
    <t>Wait more than 100us</t>
  </si>
  <si>
    <t>0504</t>
  </si>
  <si>
    <t>00000004</t>
  </si>
  <si>
    <t>SYSRST</t>
  </si>
  <si>
    <t>TC358774/75XBG LVDS Color mapping setting</t>
  </si>
  <si>
    <t>0480</t>
  </si>
  <si>
    <t>0484</t>
  </si>
  <si>
    <t>0488</t>
  </si>
  <si>
    <t>048C</t>
  </si>
  <si>
    <t>0490</t>
  </si>
  <si>
    <t>0494</t>
  </si>
  <si>
    <t>0498</t>
  </si>
  <si>
    <t>TC358774/75XBG LVDS enable</t>
  </si>
  <si>
    <t>049C</t>
  </si>
  <si>
    <t>END</t>
  </si>
  <si>
    <t>dsi,flags = &lt;(MIPI_DSI_MODE_VIDEO | MIPI_DSI_MODE_VIDEO_BURST | MIPI_DSI_MODE_LPM | MIPI_DSI_MODE_EOT_PACKET)&gt;;  //  MIPI_DSI_MODE_LPM</t>
  </si>
  <si>
    <t xml:space="preserve">      dsi,format = &lt;MIPI_DSI_FMT_RGB888&gt;;   //   &lt;MIPI_DSI_FMT_RGB888&gt; or  &lt;MIPI_DSI_FMT_RGB666&gt; or &lt;&lt;MIPI_DSI_FMT_RGB666_PACKED&gt; or &lt;MIPI_DSI_FMT_RGB565&gt; </t>
  </si>
  <si>
    <t xml:space="preserve">   // bus-format = &lt;MEDIA_BUS_FMT_RGB666_1X18&gt;;  used for loosely packed RGB666 </t>
  </si>
  <si>
    <t>dsi,lanes = &lt;4&gt;;</t>
  </si>
  <si>
    <t>disp_timings: display-timings {</t>
  </si>
  <si>
    <t>native-mode = &lt;&amp;timing0&gt;;</t>
  </si>
  <si>
    <t/>
  </si>
  <si>
    <t>timing0: timing0 {</t>
  </si>
  <si>
    <t>clock-frequency = &lt;148000000&gt;;  // lvds clock = mipi data rate * no_of_lane / (no of bit per pixel)  =  mipi rate *4/24=</t>
  </si>
  <si>
    <t>hactive = &lt;??&gt;; //   = panel horizontal no of pixel</t>
  </si>
  <si>
    <t>vactive = &lt;??&gt;;  //    = panel vertical no of pixel</t>
  </si>
  <si>
    <t xml:space="preserve">hback-porch = &lt;??&gt;;  &gt;;   // horizontal back-porch of panel  </t>
  </si>
  <si>
    <t xml:space="preserve">hsync-len = &lt;??&gt;;         // horizontal sync pulse of panel  </t>
  </si>
  <si>
    <t xml:space="preserve">hfront-porch = &lt;??&gt;; //  horizontal front porch of panel  </t>
  </si>
  <si>
    <t xml:space="preserve">                     // if RGB666 format is used, please increase this value to get panel line time = rockchip line time </t>
  </si>
  <si>
    <t xml:space="preserve">                     // target panel line time = (hpw+hbp+hfp+ hactive) / lvds_clock_freq </t>
  </si>
  <si>
    <t xml:space="preserve">                     // rockchip line time = (hback-porch+hsync-len+hfront-porch+hactive)/clock_freq </t>
  </si>
  <si>
    <t xml:space="preserve">vback-porch = &lt;??&gt;;  // vertical back-porch of panel </t>
  </si>
  <si>
    <t xml:space="preserve">vfront-porch = &lt;??&gt;; // vertical  front porch of panel </t>
  </si>
  <si>
    <t>vsync-len = &lt;??&gt;;  //  vertical vsync pulse width of panel</t>
  </si>
  <si>
    <t>hsync-active = &lt;0&gt;;</t>
  </si>
  <si>
    <t>vsync-active = &lt;0&gt;;</t>
  </si>
  <si>
    <t>de-active = &lt;0&gt;;</t>
  </si>
  <si>
    <t xml:space="preserve"> pixelclk-active = &lt;0&gt;;</t>
  </si>
  <si>
    <t>};</t>
  </si>
  <si>
    <t xml:space="preserve"> };</t>
  </si>
  <si>
    <t xml:space="preserve">e.g mipi command </t>
  </si>
  <si>
    <t xml:space="preserve">   29 02 06 A0 04 06 80 44 00 </t>
  </si>
  <si>
    <t xml:space="preserve">   29 : packet ID   </t>
  </si>
  <si>
    <t xml:space="preserve">   02 : 2ms delay  </t>
  </si>
  <si>
    <t xml:space="preserve">   06 : 6 bytes </t>
  </si>
  <si>
    <t xml:space="preserve">  A0 04 : address = 0x04A0</t>
  </si>
  <si>
    <t xml:space="preserve"> 06 80 44 00 : data=0x00448006 </t>
  </si>
  <si>
    <t>panel-init-sequence = [</t>
  </si>
  <si>
    <t>register 0x0454 , hback_porch= bit[24:16] , hsync_len=bit[8:0]</t>
  </si>
  <si>
    <t>register 0x0458 , hfront_porch= bit[24:16] , hactive=bit[10:0]</t>
  </si>
  <si>
    <t>register 0x045C , vback_porch= bit[23:16] , vsync_len=bit[7:0]</t>
  </si>
  <si>
    <t>register 0x0460 , vfront_porch = bit[23:16], vactive=bit[10:0]</t>
  </si>
  <si>
    <t>29 02 06 3C 01 05 00 03 00</t>
  </si>
  <si>
    <t>29 02 06 14 01 03 00 00 00</t>
  </si>
  <si>
    <t>29 02 06 64 01 04 00 00 00</t>
  </si>
  <si>
    <t>29 02 06 68 01 04 00 00 00</t>
  </si>
  <si>
    <t>29 02 06 6C 01 04 00 00 00</t>
  </si>
  <si>
    <t>29 02 06 70 01 04 00 00 00</t>
  </si>
  <si>
    <t>29 02 06 34 01 1F 00 00 00</t>
  </si>
  <si>
    <t>29 02 06 10 02 1F 00 00 00</t>
  </si>
  <si>
    <t>29 02 06 04 01 01 00 00 00</t>
  </si>
  <si>
    <t>29 02 06 04 02 01 00 00 00</t>
  </si>
  <si>
    <t>29 02 06 50 04 20 01 F0 03</t>
  </si>
  <si>
    <t>29 02 06 54 04 08 00 08 00</t>
  </si>
  <si>
    <t>29 02 06 58 04 20 03 20 00</t>
  </si>
  <si>
    <t>29 02 06 5C 04 04 00 0B 00</t>
  </si>
  <si>
    <t>29 02 06 60 04 00 05 11 00</t>
  </si>
  <si>
    <t>29 02 06 64 04 01 00 00 00</t>
  </si>
  <si>
    <t>29 02 06 A0 04 06 80 44 00</t>
  </si>
  <si>
    <t xml:space="preserve">    &lt;sleep ms="1" /&gt;</t>
  </si>
  <si>
    <t>29 02 06 A0 04 06 80 04 00</t>
  </si>
  <si>
    <t>29 02 06 04 05 04 00 00 00</t>
  </si>
  <si>
    <t>29 02 06 80 04 00 01 02 03</t>
  </si>
  <si>
    <t>29 02 06 84 04 04 07 05 08</t>
  </si>
  <si>
    <t>29 02 06 88 04 09 0A 0E 0F</t>
  </si>
  <si>
    <t>29 02 06 8C 04 0B 0C 0D 10</t>
  </si>
  <si>
    <t>29 02 06 90 04 16 17 11 12</t>
  </si>
  <si>
    <t>29 02 06 94 04 13 14 15 1B</t>
  </si>
  <si>
    <t>29 02 06 98 04 18 19 1A 06</t>
  </si>
  <si>
    <t>29 02 06 9C 04 31 00 00 00</t>
  </si>
  <si>
    <t>];</t>
  </si>
  <si>
    <t>&lt;I2C Access&gt;</t>
  </si>
  <si>
    <t>Format</t>
  </si>
  <si>
    <t>Slave Address = 0001_111x</t>
  </si>
  <si>
    <t>Example</t>
  </si>
  <si>
    <t>b15</t>
  </si>
  <si>
    <t>b8</t>
  </si>
  <si>
    <t>b7</t>
  </si>
  <si>
    <t>b0</t>
  </si>
  <si>
    <t>b23</t>
  </si>
  <si>
    <t>b16</t>
  </si>
  <si>
    <t>b31</t>
  </si>
  <si>
    <t>b24</t>
  </si>
  <si>
    <t>06400121</t>
  </si>
  <si>
    <t>=&gt;</t>
  </si>
  <si>
    <t>S</t>
  </si>
  <si>
    <t>ACK</t>
  </si>
  <si>
    <t>P</t>
  </si>
  <si>
    <t>&lt;DSI Access&gt;</t>
  </si>
  <si>
    <t>ECC</t>
  </si>
  <si>
    <t>CRC</t>
  </si>
  <si>
    <t>"SYNC EVENT MODE" + "Line Sync Mode"</t>
  </si>
  <si>
    <t>Host can place Pixel Stream Packet at any position in 1line as long as the restriction below is satisfied</t>
  </si>
  <si>
    <t>TC358774/75XBG can place Pixel data at any position in 1line as long as the restriction below is satisfied</t>
  </si>
  <si>
    <t>DSI Input</t>
  </si>
  <si>
    <t>BL1
(HBP)
(DSI)</t>
  </si>
  <si>
    <t>Pixel Stream PKT</t>
  </si>
  <si>
    <t>BL2 PKT
(HFP)
(DSI)</t>
  </si>
  <si>
    <t>TC358774/75XBG
LVDS output</t>
  </si>
  <si>
    <t>Pixel data</t>
  </si>
  <si>
    <t>"SYNC PULSE MODE" + "Line Sync Mode"</t>
  </si>
  <si>
    <t xml:space="preserve">When SYNC PULSE MODE is selected as the DSI mode, HPW and HBP of LVDS side follows HPW and HBP timing at DSI.  </t>
  </si>
  <si>
    <t xml:space="preserve">Though TC358774/75XBG follows DSI input timing for HPW and HBP of LVDS output, restriction below should be satisfied for correct operation.  </t>
  </si>
  <si>
    <t>BL4
HPW
DSI</t>
  </si>
  <si>
    <t>HSE</t>
  </si>
  <si>
    <t>SYNC Pulse Mode</t>
  </si>
  <si>
    <t>DSI
Input</t>
  </si>
  <si>
    <t>Data ID</t>
  </si>
  <si>
    <t>WC</t>
  </si>
  <si>
    <t>*</t>
  </si>
  <si>
    <t>/</t>
  </si>
  <si>
    <t>(</t>
  </si>
  <si>
    <t>+</t>
  </si>
  <si>
    <t>)</t>
  </si>
  <si>
    <t>SYNC Event Mode</t>
  </si>
  <si>
    <t>LVMX Register setting -&gt; LVDS bit mapping conversion (v01)</t>
  </si>
  <si>
    <t>Reg Name</t>
  </si>
  <si>
    <t>0x0480</t>
  </si>
  <si>
    <t>03020100</t>
  </si>
  <si>
    <t>0x0484</t>
  </si>
  <si>
    <t>08050704</t>
  </si>
  <si>
    <t>LVTX*DP/N</t>
  </si>
  <si>
    <t>0x0488</t>
  </si>
  <si>
    <t>0F0E0A09</t>
  </si>
  <si>
    <t>0x048C</t>
  </si>
  <si>
    <t>100D0C0B</t>
  </si>
  <si>
    <t>0x0490</t>
  </si>
  <si>
    <t>LVTX*AP/N</t>
  </si>
  <si>
    <t>0x0494</t>
  </si>
  <si>
    <t>1B151413</t>
  </si>
  <si>
    <t>0x0498</t>
  </si>
  <si>
    <t>061A1918</t>
  </si>
  <si>
    <t>LVTX*BP/N</t>
  </si>
  <si>
    <t>LVTX*CP/N</t>
  </si>
  <si>
    <t>LVTX*EP/N</t>
  </si>
  <si>
    <t>LVTX*AP/N(dec)</t>
  </si>
  <si>
    <t>LVTX*BP/N(dec)</t>
  </si>
  <si>
    <t>LVTX*CP/N(dec)</t>
  </si>
  <si>
    <t>LVTX*EP/N(dec)</t>
  </si>
  <si>
    <t>LVTX*AP/N(color)</t>
  </si>
  <si>
    <t>LVTX*BP/N(color)</t>
  </si>
  <si>
    <t>LVTX*CP/N(color)</t>
  </si>
  <si>
    <t>LVTX*EP/N(color)</t>
  </si>
  <si>
    <t>LVTX*AP/N(bit)</t>
  </si>
  <si>
    <t>LVTX*BP/N(bit)</t>
  </si>
  <si>
    <t>LVTX*CP/N(bit)</t>
  </si>
  <si>
    <t>LVTX*EP/N(bit)</t>
  </si>
</sst>
</file>

<file path=xl/styles.xml><?xml version="1.0" encoding="utf-8"?>
<styleSheet xmlns="http://schemas.openxmlformats.org/spreadsheetml/2006/main">
  <numFmts count="4">
    <numFmt numFmtId="176" formatCode="&quot;₩&quot;#,##0.00;[Red]&quot;₩&quot;\-#,##0.00"/>
    <numFmt numFmtId="177" formatCode="0_ "/>
    <numFmt numFmtId="178" formatCode="&quot;₩&quot;#,##0;[Red]&quot;₩&quot;\-#,##0"/>
    <numFmt numFmtId="179" formatCode="0.0_ "/>
  </numFmts>
  <fonts count="56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14"/>
      <name val="Arial"/>
      <family val="2"/>
      <charset val="0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Arial"/>
      <family val="2"/>
      <charset val="0"/>
    </font>
    <font>
      <b/>
      <sz val="11"/>
      <name val="Arial"/>
      <family val="2"/>
      <charset val="0"/>
    </font>
    <font>
      <sz val="9"/>
      <name val="Arial"/>
      <family val="2"/>
      <charset val="0"/>
    </font>
    <font>
      <sz val="10"/>
      <name val="Arial"/>
      <family val="2"/>
      <charset val="0"/>
    </font>
    <font>
      <sz val="8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9"/>
      <name val="Arial"/>
      <family val="2"/>
      <charset val="0"/>
    </font>
    <font>
      <sz val="6"/>
      <color indexed="9"/>
      <name val="Arial Narrow"/>
      <family val="2"/>
      <charset val="0"/>
    </font>
    <font>
      <b/>
      <sz val="12"/>
      <name val="Arial"/>
      <family val="2"/>
      <charset val="0"/>
    </font>
    <font>
      <sz val="11"/>
      <color theme="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0"/>
      <name val="Arial"/>
      <family val="2"/>
      <charset val="0"/>
    </font>
    <font>
      <b/>
      <sz val="11"/>
      <color indexed="10"/>
      <name val="Arial"/>
      <family val="2"/>
      <charset val="0"/>
    </font>
    <font>
      <sz val="11"/>
      <color indexed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Arial"/>
      <family val="2"/>
      <charset val="0"/>
    </font>
    <font>
      <sz val="6"/>
      <color indexed="9"/>
      <name val="Arial"/>
      <family val="2"/>
      <charset val="0"/>
    </font>
    <font>
      <b/>
      <sz val="10"/>
      <color indexed="10"/>
      <name val="Arial"/>
      <family val="2"/>
      <charset val="0"/>
    </font>
    <font>
      <b/>
      <sz val="10"/>
      <color indexed="9"/>
      <name val="Arial"/>
      <family val="2"/>
      <charset val="0"/>
    </font>
    <font>
      <sz val="11"/>
      <color indexed="10"/>
      <name val="Arial"/>
      <family val="2"/>
      <charset val="0"/>
    </font>
    <font>
      <sz val="11"/>
      <color theme="0"/>
      <name val="Arial"/>
      <family val="2"/>
      <charset val="0"/>
    </font>
    <font>
      <sz val="11"/>
      <color rgb="FFFA7D00"/>
      <name val="맑은 고딕"/>
      <charset val="0"/>
    </font>
    <font>
      <sz val="11"/>
      <color rgb="FF9C0006"/>
      <name val="맑은 고딕"/>
      <charset val="0"/>
    </font>
    <font>
      <sz val="11"/>
      <color theme="0"/>
      <name val="맑은 고딕"/>
      <charset val="0"/>
    </font>
    <font>
      <sz val="11"/>
      <color theme="1"/>
      <name val="맑은 고딕"/>
      <charset val="0"/>
    </font>
    <font>
      <u/>
      <sz val="11"/>
      <color indexed="12"/>
      <name val="ＭＳ Ｐゴシック"/>
      <family val="3"/>
      <charset val="128"/>
    </font>
    <font>
      <b/>
      <sz val="13"/>
      <color theme="3"/>
      <name val="맑은 고딕"/>
      <charset val="0"/>
    </font>
    <font>
      <u/>
      <sz val="11"/>
      <color indexed="36"/>
      <name val="ＭＳ Ｐゴシック"/>
      <family val="3"/>
      <charset val="128"/>
    </font>
    <font>
      <b/>
      <sz val="11"/>
      <color theme="3"/>
      <name val="맑은 고딕"/>
      <charset val="0"/>
    </font>
    <font>
      <b/>
      <sz val="15"/>
      <color theme="3"/>
      <name val="맑은 고딕"/>
      <charset val="0"/>
    </font>
    <font>
      <sz val="11"/>
      <color rgb="FF9C6500"/>
      <name val="맑은 고딕"/>
      <charset val="0"/>
    </font>
    <font>
      <sz val="11"/>
      <color rgb="FF006100"/>
      <name val="맑은 고딕"/>
      <charset val="0"/>
    </font>
    <font>
      <sz val="11"/>
      <color rgb="FFFF0000"/>
      <name val="맑은 고딕"/>
      <charset val="0"/>
    </font>
    <font>
      <i/>
      <sz val="11"/>
      <color rgb="FF7F7F7F"/>
      <name val="맑은 고딕"/>
      <charset val="0"/>
    </font>
    <font>
      <b/>
      <sz val="11"/>
      <color rgb="FF3F3F3F"/>
      <name val="맑은 고딕"/>
      <charset val="0"/>
    </font>
    <font>
      <b/>
      <sz val="11"/>
      <color theme="0"/>
      <name val="맑은 고딕"/>
      <charset val="0"/>
    </font>
    <font>
      <sz val="11"/>
      <color rgb="FF3F3F76"/>
      <name val="맑은 고딕"/>
      <charset val="0"/>
    </font>
    <font>
      <b/>
      <sz val="11"/>
      <color theme="1"/>
      <name val="맑은 고딕"/>
      <charset val="0"/>
    </font>
    <font>
      <b/>
      <sz val="11"/>
      <color rgb="FFFA7D00"/>
      <name val="맑은 고딕"/>
      <charset val="0"/>
    </font>
    <font>
      <b/>
      <sz val="18"/>
      <color theme="3"/>
      <name val="맑은 고딕"/>
      <charset val="0"/>
    </font>
    <font>
      <sz val="9"/>
      <name val="MS PGothic"/>
      <charset val="0"/>
    </font>
    <font>
      <b/>
      <sz val="9"/>
      <name val="MS PGothic"/>
      <charset val="0"/>
    </font>
    <font>
      <sz val="9"/>
      <name val="Arial"/>
      <charset val="0"/>
    </font>
    <font>
      <b/>
      <sz val="9"/>
      <name val="Arial"/>
      <charset val="0"/>
    </font>
  </fonts>
  <fills count="5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0" fontId="35" fillId="34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48" fillId="46" borderId="66" applyNumberFormat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50" fillId="44" borderId="66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9" fillId="0" borderId="67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47" fillId="45" borderId="65" applyNumberFormat="0" applyAlignment="0" applyProtection="0">
      <alignment vertical="center"/>
    </xf>
    <xf numFmtId="0" fontId="46" fillId="44" borderId="64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40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0" fillId="28" borderId="62" applyNumberFormat="0" applyFon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38" fontId="0" fillId="0" borderId="0" applyFont="0" applyFill="0" applyBorder="0" applyAlignment="0" applyProtection="0">
      <alignment vertical="center"/>
    </xf>
    <xf numFmtId="0" fontId="38" fillId="0" borderId="61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0" borderId="68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3" fillId="0" borderId="60" applyNumberFormat="0" applyFill="0" applyAlignment="0" applyProtection="0">
      <alignment vertical="center"/>
    </xf>
  </cellStyleXfs>
  <cellXfs count="4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3" borderId="1" xfId="0" applyFont="1" applyFill="1" applyBorder="1" applyAlignment="1">
      <alignment vertical="center" textRotation="255"/>
    </xf>
    <xf numFmtId="0" fontId="8" fillId="3" borderId="8" xfId="0" applyFont="1" applyFill="1" applyBorder="1" applyAlignment="1">
      <alignment horizontal="center" vertical="center" textRotation="255"/>
    </xf>
    <xf numFmtId="0" fontId="8" fillId="3" borderId="20" xfId="0" applyFont="1" applyFill="1" applyBorder="1" applyAlignment="1">
      <alignment horizontal="center" vertical="center" textRotation="255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8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0" fillId="3" borderId="20" xfId="0" applyFill="1" applyBorder="1">
      <alignment vertical="center"/>
    </xf>
    <xf numFmtId="0" fontId="8" fillId="0" borderId="1" xfId="0" applyFont="1" applyBorder="1" applyAlignment="1">
      <alignment vertical="center" textRotation="255"/>
    </xf>
    <xf numFmtId="0" fontId="0" fillId="0" borderId="25" xfId="0" applyBorder="1">
      <alignment vertical="center"/>
    </xf>
    <xf numFmtId="0" fontId="8" fillId="0" borderId="8" xfId="0" applyFont="1" applyBorder="1" applyAlignment="1">
      <alignment horizontal="center" vertical="center" textRotation="255"/>
    </xf>
    <xf numFmtId="0" fontId="8" fillId="0" borderId="20" xfId="0" applyFont="1" applyBorder="1" applyAlignment="1">
      <alignment horizontal="center" vertical="center" textRotation="255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8" fillId="6" borderId="1" xfId="0" applyFont="1" applyFill="1" applyBorder="1" applyAlignment="1">
      <alignment vertical="center" textRotation="255"/>
    </xf>
    <xf numFmtId="0" fontId="0" fillId="6" borderId="8" xfId="0" applyFill="1" applyBorder="1">
      <alignment vertical="center"/>
    </xf>
    <xf numFmtId="0" fontId="0" fillId="6" borderId="20" xfId="0" applyFill="1" applyBorder="1">
      <alignment vertical="center"/>
    </xf>
    <xf numFmtId="0" fontId="9" fillId="7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7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26" xfId="0" applyFont="1" applyBorder="1">
      <alignment vertical="center"/>
    </xf>
    <xf numFmtId="0" fontId="13" fillId="6" borderId="1" xfId="0" applyFont="1" applyFill="1" applyBorder="1" applyAlignment="1">
      <alignment vertical="center" textRotation="255"/>
    </xf>
    <xf numFmtId="0" fontId="13" fillId="0" borderId="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1" fillId="0" borderId="27" xfId="0" applyFont="1" applyBorder="1">
      <alignment vertical="center"/>
    </xf>
    <xf numFmtId="0" fontId="7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1" fillId="0" borderId="4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1" fillId="0" borderId="3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  <xf numFmtId="0" fontId="11" fillId="8" borderId="8" xfId="0" applyFont="1" applyFill="1" applyBorder="1">
      <alignment vertical="center"/>
    </xf>
    <xf numFmtId="0" fontId="11" fillId="8" borderId="23" xfId="0" applyFont="1" applyFill="1" applyBorder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3" borderId="8" xfId="0" applyFont="1" applyFill="1" applyBorder="1">
      <alignment vertical="center"/>
    </xf>
    <xf numFmtId="0" fontId="11" fillId="3" borderId="23" xfId="0" applyFont="1" applyFill="1" applyBorder="1">
      <alignment vertical="center"/>
    </xf>
    <xf numFmtId="0" fontId="11" fillId="9" borderId="8" xfId="0" applyFont="1" applyFill="1" applyBorder="1">
      <alignment vertical="center"/>
    </xf>
    <xf numFmtId="0" fontId="11" fillId="9" borderId="23" xfId="0" applyFont="1" applyFill="1" applyBorder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8" borderId="20" xfId="0" applyFont="1" applyFill="1" applyBorder="1">
      <alignment vertical="center"/>
    </xf>
    <xf numFmtId="0" fontId="11" fillId="0" borderId="20" xfId="0" applyFont="1" applyFill="1" applyBorder="1" applyAlignment="1">
      <alignment horizontal="center" vertical="center"/>
    </xf>
    <xf numFmtId="0" fontId="11" fillId="3" borderId="20" xfId="0" applyFont="1" applyFill="1" applyBorder="1">
      <alignment vertical="center"/>
    </xf>
    <xf numFmtId="0" fontId="11" fillId="9" borderId="20" xfId="0" applyFont="1" applyFill="1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0" borderId="8" xfId="0" applyFont="1" applyBorder="1" applyAlignment="1">
      <alignment vertical="center" textRotation="255"/>
    </xf>
    <xf numFmtId="0" fontId="11" fillId="0" borderId="20" xfId="0" applyFont="1" applyBorder="1" applyAlignment="1">
      <alignment vertical="center" textRotation="255"/>
    </xf>
    <xf numFmtId="0" fontId="11" fillId="0" borderId="1" xfId="0" applyFont="1" applyBorder="1" applyAlignment="1">
      <alignment vertical="center" textRotation="255"/>
    </xf>
    <xf numFmtId="49" fontId="11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7" borderId="0" xfId="0" applyNumberFormat="1" applyFont="1" applyFill="1">
      <alignment vertical="center"/>
    </xf>
    <xf numFmtId="49" fontId="11" fillId="0" borderId="0" xfId="0" applyNumberFormat="1" applyFont="1" applyFill="1">
      <alignment vertical="center"/>
    </xf>
    <xf numFmtId="0" fontId="11" fillId="0" borderId="0" xfId="0" applyNumberFormat="1" applyFont="1" applyFill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vertical="center" wrapText="1"/>
    </xf>
    <xf numFmtId="0" fontId="12" fillId="4" borderId="9" xfId="0" applyNumberFormat="1" applyFont="1" applyFill="1" applyBorder="1" applyAlignment="1" applyProtection="1">
      <alignment horizontal="center" vertical="center"/>
      <protection locked="0"/>
    </xf>
    <xf numFmtId="49" fontId="11" fillId="7" borderId="0" xfId="0" applyNumberFormat="1" applyFont="1" applyFill="1">
      <alignment vertical="center"/>
    </xf>
    <xf numFmtId="49" fontId="11" fillId="8" borderId="0" xfId="0" applyNumberFormat="1" applyFont="1" applyFill="1">
      <alignment vertical="center"/>
    </xf>
    <xf numFmtId="49" fontId="11" fillId="3" borderId="0" xfId="0" applyNumberFormat="1" applyFont="1" applyFill="1">
      <alignment vertical="center"/>
    </xf>
    <xf numFmtId="49" fontId="11" fillId="10" borderId="0" xfId="0" applyNumberFormat="1" applyFont="1" applyFill="1">
      <alignment vertical="center"/>
    </xf>
    <xf numFmtId="0" fontId="16" fillId="0" borderId="0" xfId="0" applyFont="1">
      <alignment vertical="center"/>
    </xf>
    <xf numFmtId="0" fontId="0" fillId="0" borderId="28" xfId="0" applyBorder="1">
      <alignment vertical="center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11" borderId="34" xfId="0" applyFill="1" applyBorder="1">
      <alignment vertical="center"/>
    </xf>
    <xf numFmtId="0" fontId="0" fillId="0" borderId="34" xfId="0" applyFill="1" applyBorder="1">
      <alignment vertical="center"/>
    </xf>
    <xf numFmtId="0" fontId="1" fillId="7" borderId="36" xfId="0" applyFont="1" applyFill="1" applyBorder="1" applyAlignment="1">
      <alignment horizontal="center" vertical="center"/>
    </xf>
    <xf numFmtId="0" fontId="0" fillId="3" borderId="34" xfId="0" applyFill="1" applyBorder="1">
      <alignment vertical="center"/>
    </xf>
    <xf numFmtId="0" fontId="12" fillId="4" borderId="31" xfId="0" applyNumberFormat="1" applyFont="1" applyFill="1" applyBorder="1" applyAlignment="1" applyProtection="1">
      <alignment horizontal="center" vertical="center"/>
      <protection locked="0"/>
    </xf>
    <xf numFmtId="0" fontId="12" fillId="4" borderId="32" xfId="0" applyNumberFormat="1" applyFont="1" applyFill="1" applyBorder="1" applyAlignment="1" applyProtection="1">
      <alignment horizontal="center" vertical="center"/>
      <protection locked="0"/>
    </xf>
    <xf numFmtId="0" fontId="12" fillId="4" borderId="36" xfId="0" applyNumberFormat="1" applyFont="1" applyFill="1" applyBorder="1" applyAlignment="1" applyProtection="1">
      <alignment horizontal="center" vertical="center"/>
      <protection locked="0"/>
    </xf>
    <xf numFmtId="0" fontId="12" fillId="12" borderId="31" xfId="0" applyFont="1" applyFill="1" applyBorder="1" applyAlignment="1" applyProtection="1">
      <alignment horizontal="center" vertical="center"/>
      <protection locked="0"/>
    </xf>
    <xf numFmtId="0" fontId="12" fillId="12" borderId="32" xfId="0" applyFont="1" applyFill="1" applyBorder="1" applyAlignment="1" applyProtection="1">
      <alignment horizontal="center" vertical="center"/>
      <protection locked="0"/>
    </xf>
    <xf numFmtId="0" fontId="12" fillId="12" borderId="36" xfId="0" applyFont="1" applyFill="1" applyBorder="1" applyAlignment="1" applyProtection="1">
      <alignment horizontal="center" vertical="center"/>
      <protection locked="0"/>
    </xf>
    <xf numFmtId="0" fontId="5" fillId="0" borderId="37" xfId="0" applyFont="1" applyBorder="1">
      <alignment vertical="center"/>
    </xf>
    <xf numFmtId="0" fontId="0" fillId="0" borderId="4" xfId="0" applyFont="1" applyBorder="1">
      <alignment vertical="center"/>
    </xf>
    <xf numFmtId="0" fontId="0" fillId="6" borderId="23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10" xfId="0" applyFill="1" applyBorder="1">
      <alignment vertical="center"/>
    </xf>
    <xf numFmtId="0" fontId="0" fillId="13" borderId="5" xfId="0" applyFill="1" applyBorder="1">
      <alignment vertical="center"/>
    </xf>
    <xf numFmtId="0" fontId="1" fillId="12" borderId="31" xfId="0" applyFont="1" applyFill="1" applyBorder="1" applyAlignment="1" applyProtection="1">
      <alignment horizontal="center" vertical="center"/>
      <protection locked="0"/>
    </xf>
    <xf numFmtId="0" fontId="1" fillId="12" borderId="32" xfId="0" applyFont="1" applyFill="1" applyBorder="1" applyAlignment="1" applyProtection="1">
      <alignment horizontal="center" vertical="center"/>
      <protection locked="0"/>
    </xf>
    <xf numFmtId="0" fontId="1" fillId="12" borderId="36" xfId="0" applyFont="1" applyFill="1" applyBorder="1" applyAlignment="1" applyProtection="1">
      <alignment horizontal="center" vertical="center"/>
      <protection locked="0"/>
    </xf>
    <xf numFmtId="0" fontId="0" fillId="0" borderId="2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25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5" xfId="0" applyFill="1" applyBorder="1">
      <alignment vertical="center"/>
    </xf>
    <xf numFmtId="0" fontId="17" fillId="14" borderId="31" xfId="0" applyNumberFormat="1" applyFont="1" applyFill="1" applyBorder="1" applyAlignment="1" applyProtection="1">
      <alignment horizontal="center" vertical="center"/>
      <protection locked="0"/>
    </xf>
    <xf numFmtId="0" fontId="17" fillId="14" borderId="32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>
      <alignment vertical="center"/>
    </xf>
    <xf numFmtId="0" fontId="17" fillId="14" borderId="36" xfId="0" applyNumberFormat="1" applyFont="1" applyFill="1" applyBorder="1" applyAlignment="1" applyProtection="1">
      <alignment horizontal="center" vertical="center"/>
      <protection locked="0"/>
    </xf>
    <xf numFmtId="0" fontId="9" fillId="7" borderId="31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11" xfId="0" applyFill="1" applyBorder="1">
      <alignment vertical="center"/>
    </xf>
    <xf numFmtId="0" fontId="0" fillId="13" borderId="14" xfId="0" applyFill="1" applyBorder="1">
      <alignment vertical="center"/>
    </xf>
    <xf numFmtId="0" fontId="0" fillId="13" borderId="29" xfId="0" applyFill="1" applyBorder="1">
      <alignment vertical="center"/>
    </xf>
    <xf numFmtId="0" fontId="0" fillId="13" borderId="11" xfId="0" applyFill="1" applyBorder="1">
      <alignment vertical="center"/>
    </xf>
    <xf numFmtId="0" fontId="19" fillId="4" borderId="3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>
      <alignment vertical="center"/>
    </xf>
    <xf numFmtId="0" fontId="19" fillId="4" borderId="32" xfId="0" applyNumberFormat="1" applyFont="1" applyFill="1" applyBorder="1" applyAlignment="1" applyProtection="1">
      <alignment horizontal="center" vertical="center"/>
      <protection locked="0"/>
    </xf>
    <xf numFmtId="0" fontId="19" fillId="4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Border="1">
      <alignment vertical="center"/>
    </xf>
    <xf numFmtId="0" fontId="1" fillId="4" borderId="1" xfId="0" applyFont="1" applyFill="1" applyBorder="1" applyProtection="1">
      <alignment vertical="center"/>
      <protection locked="0"/>
    </xf>
    <xf numFmtId="0" fontId="0" fillId="7" borderId="1" xfId="0" applyFont="1" applyFill="1" applyBorder="1">
      <alignment vertical="center"/>
    </xf>
    <xf numFmtId="0" fontId="12" fillId="4" borderId="1" xfId="0" applyNumberFormat="1" applyFont="1" applyFill="1" applyBorder="1" applyProtection="1">
      <alignment vertical="center"/>
      <protection locked="0"/>
    </xf>
    <xf numFmtId="0" fontId="0" fillId="0" borderId="40" xfId="0" applyFill="1" applyBorder="1">
      <alignment vertical="center"/>
    </xf>
    <xf numFmtId="0" fontId="12" fillId="4" borderId="1" xfId="0" applyNumberFormat="1" applyFont="1" applyFill="1" applyBorder="1" applyAlignment="1" applyProtection="1">
      <alignment horizontal="right" vertical="center"/>
      <protection locked="0"/>
    </xf>
    <xf numFmtId="0" fontId="21" fillId="15" borderId="1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40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2" xfId="0" applyFill="1" applyBorder="1">
      <alignment vertical="center"/>
    </xf>
    <xf numFmtId="0" fontId="0" fillId="0" borderId="43" xfId="0" applyBorder="1">
      <alignment vertical="center"/>
    </xf>
    <xf numFmtId="0" fontId="0" fillId="0" borderId="44" xfId="0" applyFill="1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3" fillId="2" borderId="39" xfId="0" applyFont="1" applyFill="1" applyBorder="1" applyAlignment="1">
      <alignment horizontal="center" vertical="center" wrapText="1"/>
    </xf>
    <xf numFmtId="179" fontId="1" fillId="7" borderId="1" xfId="0" applyNumberFormat="1" applyFont="1" applyFill="1" applyBorder="1">
      <alignment vertical="center"/>
    </xf>
    <xf numFmtId="0" fontId="0" fillId="13" borderId="40" xfId="0" applyFill="1" applyBorder="1">
      <alignment vertical="center"/>
    </xf>
    <xf numFmtId="179" fontId="1" fillId="13" borderId="1" xfId="0" applyNumberFormat="1" applyFont="1" applyFill="1" applyBorder="1">
      <alignment vertical="center"/>
    </xf>
    <xf numFmtId="179" fontId="0" fillId="7" borderId="1" xfId="0" applyNumberFormat="1" applyFill="1" applyBorder="1">
      <alignment vertical="center"/>
    </xf>
    <xf numFmtId="179" fontId="0" fillId="0" borderId="46" xfId="0" applyNumberFormat="1" applyBorder="1">
      <alignment vertical="center"/>
    </xf>
    <xf numFmtId="0" fontId="2" fillId="2" borderId="39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13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0" borderId="45" xfId="0" applyFill="1" applyBorder="1">
      <alignment vertical="center"/>
    </xf>
    <xf numFmtId="0" fontId="0" fillId="7" borderId="46" xfId="0" applyFill="1" applyBorder="1">
      <alignment vertical="center"/>
    </xf>
    <xf numFmtId="0" fontId="2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>
      <alignment horizontal="center" vertical="center"/>
    </xf>
    <xf numFmtId="0" fontId="17" fillId="16" borderId="38" xfId="0" applyFont="1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23" fillId="0" borderId="48" xfId="0" applyFont="1" applyBorder="1">
      <alignment vertical="center"/>
    </xf>
    <xf numFmtId="0" fontId="0" fillId="0" borderId="48" xfId="0" applyBorder="1">
      <alignment vertical="center"/>
    </xf>
    <xf numFmtId="0" fontId="22" fillId="4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1" xfId="0" applyFont="1" applyBorder="1" applyAlignment="1">
      <alignment horizontal="left" vertical="center"/>
    </xf>
    <xf numFmtId="0" fontId="0" fillId="0" borderId="20" xfId="0" applyFill="1" applyBorder="1">
      <alignment vertical="center"/>
    </xf>
    <xf numFmtId="0" fontId="1" fillId="7" borderId="1" xfId="0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>
      <alignment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left" vertical="center"/>
    </xf>
    <xf numFmtId="0" fontId="16" fillId="0" borderId="48" xfId="0" applyFont="1" applyBorder="1">
      <alignment vertical="center"/>
    </xf>
    <xf numFmtId="0" fontId="23" fillId="0" borderId="48" xfId="0" applyFont="1" applyBorder="1" applyAlignment="1">
      <alignment horizontal="left" vertical="center"/>
    </xf>
    <xf numFmtId="0" fontId="2" fillId="2" borderId="34" xfId="0" applyFont="1" applyFill="1" applyBorder="1">
      <alignment vertical="center"/>
    </xf>
    <xf numFmtId="0" fontId="2" fillId="2" borderId="49" xfId="0" applyFont="1" applyFill="1" applyBorder="1">
      <alignment vertical="center"/>
    </xf>
    <xf numFmtId="0" fontId="11" fillId="7" borderId="1" xfId="0" applyNumberFormat="1" applyFont="1" applyFill="1" applyBorder="1" applyAlignment="1">
      <alignment horizontal="right" vertical="center"/>
    </xf>
    <xf numFmtId="177" fontId="11" fillId="0" borderId="43" xfId="0" applyNumberFormat="1" applyFont="1" applyFill="1" applyBorder="1">
      <alignment vertical="center"/>
    </xf>
    <xf numFmtId="179" fontId="11" fillId="0" borderId="50" xfId="0" applyNumberFormat="1" applyFont="1" applyFill="1" applyBorder="1">
      <alignment vertical="center"/>
    </xf>
    <xf numFmtId="0" fontId="0" fillId="7" borderId="43" xfId="0" applyFont="1" applyFill="1" applyBorder="1" applyAlignment="1" applyProtection="1">
      <alignment horizontal="right" vertical="center"/>
    </xf>
    <xf numFmtId="177" fontId="11" fillId="0" borderId="13" xfId="0" applyNumberFormat="1" applyFont="1" applyFill="1" applyBorder="1">
      <alignment vertical="center"/>
    </xf>
    <xf numFmtId="0" fontId="11" fillId="0" borderId="50" xfId="0" applyFont="1" applyFill="1" applyBorder="1">
      <alignment vertical="center"/>
    </xf>
    <xf numFmtId="0" fontId="0" fillId="7" borderId="34" xfId="0" applyFont="1" applyFill="1" applyBorder="1" applyAlignment="1" applyProtection="1">
      <alignment horizontal="right" vertical="center"/>
    </xf>
    <xf numFmtId="0" fontId="0" fillId="0" borderId="51" xfId="0" applyBorder="1">
      <alignment vertical="center"/>
    </xf>
    <xf numFmtId="0" fontId="0" fillId="0" borderId="43" xfId="0" applyBorder="1" applyAlignment="1" applyProtection="1">
      <alignment horizontal="right" vertical="center"/>
      <protection locked="0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 applyAlignment="1" applyProtection="1">
      <alignment horizontal="right" vertical="center"/>
      <protection locked="0"/>
    </xf>
    <xf numFmtId="0" fontId="21" fillId="0" borderId="55" xfId="0" applyFont="1" applyFill="1" applyBorder="1">
      <alignment vertical="center"/>
    </xf>
    <xf numFmtId="0" fontId="2" fillId="2" borderId="56" xfId="0" applyFont="1" applyFill="1" applyBorder="1" applyAlignment="1">
      <alignment horizontal="center" vertical="center"/>
    </xf>
    <xf numFmtId="0" fontId="2" fillId="16" borderId="39" xfId="0" applyFont="1" applyFill="1" applyBorder="1" applyAlignment="1">
      <alignment horizontal="center" vertical="center"/>
    </xf>
    <xf numFmtId="179" fontId="0" fillId="13" borderId="1" xfId="0" applyNumberFormat="1" applyFill="1" applyBorder="1">
      <alignment vertical="center"/>
    </xf>
    <xf numFmtId="0" fontId="0" fillId="13" borderId="48" xfId="0" applyFill="1" applyBorder="1">
      <alignment vertical="center"/>
    </xf>
    <xf numFmtId="0" fontId="0" fillId="13" borderId="1" xfId="0" applyFont="1" applyFill="1" applyBorder="1">
      <alignment vertical="center"/>
    </xf>
    <xf numFmtId="179" fontId="0" fillId="7" borderId="1" xfId="0" applyNumberFormat="1" applyFont="1" applyFill="1" applyBorder="1">
      <alignment vertical="center"/>
    </xf>
    <xf numFmtId="0" fontId="1" fillId="7" borderId="46" xfId="0" applyFont="1" applyFill="1" applyBorder="1">
      <alignment vertical="center"/>
    </xf>
    <xf numFmtId="0" fontId="0" fillId="13" borderId="1" xfId="0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1" fillId="17" borderId="0" xfId="0" applyFont="1" applyFill="1">
      <alignment vertical="center"/>
    </xf>
    <xf numFmtId="0" fontId="2" fillId="16" borderId="56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1" fillId="0" borderId="1" xfId="0" applyFont="1" applyFill="1" applyBorder="1">
      <alignment vertical="center"/>
    </xf>
    <xf numFmtId="177" fontId="5" fillId="0" borderId="1" xfId="0" applyNumberFormat="1" applyFont="1" applyBorder="1" applyAlignment="1">
      <alignment horizontal="left" vertical="center"/>
    </xf>
    <xf numFmtId="0" fontId="25" fillId="0" borderId="1" xfId="0" applyFont="1" applyFill="1" applyBorder="1">
      <alignment vertical="center"/>
    </xf>
    <xf numFmtId="177" fontId="20" fillId="0" borderId="1" xfId="0" applyNumberFormat="1" applyFont="1" applyBorder="1" applyAlignment="1">
      <alignment horizontal="left" vertical="center"/>
    </xf>
    <xf numFmtId="177" fontId="20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>
      <alignment vertical="center"/>
    </xf>
    <xf numFmtId="0" fontId="26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6" fillId="0" borderId="1" xfId="0" applyFont="1" applyBorder="1">
      <alignment vertical="center"/>
    </xf>
    <xf numFmtId="179" fontId="0" fillId="0" borderId="1" xfId="0" applyNumberFormat="1" applyFont="1" applyBorder="1">
      <alignment vertical="center"/>
    </xf>
    <xf numFmtId="179" fontId="0" fillId="0" borderId="1" xfId="0" applyNumberFormat="1" applyFont="1" applyFill="1" applyBorder="1" applyAlignment="1">
      <alignment horizontal="right" vertical="center"/>
    </xf>
    <xf numFmtId="179" fontId="0" fillId="0" borderId="20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14" xfId="0" applyNumberFormat="1" applyBorder="1">
      <alignment vertical="center"/>
    </xf>
    <xf numFmtId="0" fontId="16" fillId="13" borderId="1" xfId="0" applyFont="1" applyFill="1" applyBorder="1">
      <alignment vertical="center"/>
    </xf>
    <xf numFmtId="0" fontId="16" fillId="13" borderId="46" xfId="0" applyFont="1" applyFill="1" applyBorder="1">
      <alignment vertical="center"/>
    </xf>
    <xf numFmtId="0" fontId="2" fillId="16" borderId="47" xfId="0" applyFont="1" applyFill="1" applyBorder="1" applyAlignment="1">
      <alignment horizontal="center" vertical="center"/>
    </xf>
    <xf numFmtId="179" fontId="16" fillId="7" borderId="1" xfId="0" applyNumberFormat="1" applyFont="1" applyFill="1" applyBorder="1">
      <alignment vertical="center"/>
    </xf>
    <xf numFmtId="179" fontId="0" fillId="7" borderId="46" xfId="0" applyNumberFormat="1" applyFill="1" applyBorder="1">
      <alignment vertical="center"/>
    </xf>
    <xf numFmtId="0" fontId="16" fillId="0" borderId="52" xfId="0" applyFont="1" applyBorder="1">
      <alignment vertical="center"/>
    </xf>
    <xf numFmtId="179" fontId="0" fillId="0" borderId="1" xfId="0" applyNumberFormat="1" applyFill="1" applyBorder="1">
      <alignment vertical="center"/>
    </xf>
    <xf numFmtId="179" fontId="0" fillId="0" borderId="46" xfId="0" applyNumberFormat="1" applyFill="1" applyBorder="1">
      <alignment vertical="center"/>
    </xf>
    <xf numFmtId="0" fontId="2" fillId="16" borderId="57" xfId="0" applyFont="1" applyFill="1" applyBorder="1" applyAlignment="1">
      <alignment horizontal="center" vertical="center"/>
    </xf>
    <xf numFmtId="177" fontId="5" fillId="0" borderId="0" xfId="0" applyNumberFormat="1" applyFont="1">
      <alignment vertical="center"/>
    </xf>
    <xf numFmtId="0" fontId="0" fillId="0" borderId="48" xfId="0" applyFont="1" applyBorder="1">
      <alignment vertical="center"/>
    </xf>
    <xf numFmtId="0" fontId="0" fillId="0" borderId="20" xfId="0" applyFont="1" applyFill="1" applyBorder="1">
      <alignment vertical="center"/>
    </xf>
    <xf numFmtId="0" fontId="23" fillId="0" borderId="0" xfId="0" applyFont="1">
      <alignment vertical="center"/>
    </xf>
    <xf numFmtId="0" fontId="27" fillId="0" borderId="0" xfId="0" applyFont="1">
      <alignment vertical="center"/>
    </xf>
    <xf numFmtId="0" fontId="11" fillId="0" borderId="28" xfId="0" applyFont="1" applyBorder="1">
      <alignment vertical="center"/>
    </xf>
    <xf numFmtId="0" fontId="12" fillId="12" borderId="9" xfId="0" applyFont="1" applyFill="1" applyBorder="1" applyAlignment="1" applyProtection="1">
      <alignment horizontal="center" vertical="center"/>
      <protection locked="0"/>
    </xf>
    <xf numFmtId="0" fontId="11" fillId="0" borderId="25" xfId="0" applyFont="1" applyBorder="1">
      <alignment vertical="center"/>
    </xf>
    <xf numFmtId="0" fontId="11" fillId="0" borderId="14" xfId="0" applyFont="1" applyBorder="1">
      <alignment vertical="center"/>
    </xf>
    <xf numFmtId="0" fontId="11" fillId="0" borderId="29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30" xfId="0" applyFont="1" applyBorder="1">
      <alignment vertical="center"/>
    </xf>
    <xf numFmtId="0" fontId="12" fillId="7" borderId="31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1" fillId="0" borderId="34" xfId="0" applyFont="1" applyBorder="1">
      <alignment vertical="center"/>
    </xf>
    <xf numFmtId="0" fontId="11" fillId="0" borderId="35" xfId="0" applyFont="1" applyBorder="1">
      <alignment vertical="center"/>
    </xf>
    <xf numFmtId="0" fontId="11" fillId="11" borderId="34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1" fillId="0" borderId="34" xfId="0" applyFont="1" applyFill="1" applyBorder="1">
      <alignment vertical="center"/>
    </xf>
    <xf numFmtId="0" fontId="11" fillId="3" borderId="34" xfId="0" applyFont="1" applyFill="1" applyBorder="1">
      <alignment vertical="center"/>
    </xf>
    <xf numFmtId="0" fontId="11" fillId="0" borderId="23" xfId="0" applyFont="1" applyBorder="1">
      <alignment vertical="center"/>
    </xf>
    <xf numFmtId="0" fontId="27" fillId="0" borderId="37" xfId="0" applyFont="1" applyBorder="1">
      <alignment vertical="center"/>
    </xf>
    <xf numFmtId="0" fontId="11" fillId="0" borderId="7" xfId="0" applyFont="1" applyBorder="1">
      <alignment vertical="center"/>
    </xf>
    <xf numFmtId="0" fontId="12" fillId="7" borderId="31" xfId="0" applyNumberFormat="1" applyFont="1" applyFill="1" applyBorder="1" applyAlignment="1">
      <alignment horizontal="center" vertical="center"/>
    </xf>
    <xf numFmtId="0" fontId="12" fillId="7" borderId="32" xfId="0" applyNumberFormat="1" applyFont="1" applyFill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11" fillId="6" borderId="23" xfId="0" applyFont="1" applyFill="1" applyBorder="1">
      <alignment vertical="center"/>
    </xf>
    <xf numFmtId="0" fontId="11" fillId="13" borderId="13" xfId="0" applyFont="1" applyFill="1" applyBorder="1">
      <alignment vertical="center"/>
    </xf>
    <xf numFmtId="0" fontId="11" fillId="13" borderId="2" xfId="0" applyFont="1" applyFill="1" applyBorder="1">
      <alignment vertical="center"/>
    </xf>
    <xf numFmtId="0" fontId="11" fillId="13" borderId="25" xfId="0" applyFont="1" applyFill="1" applyBorder="1">
      <alignment vertical="center"/>
    </xf>
    <xf numFmtId="0" fontId="11" fillId="13" borderId="0" xfId="0" applyFont="1" applyFill="1" applyBorder="1">
      <alignment vertical="center"/>
    </xf>
    <xf numFmtId="0" fontId="11" fillId="13" borderId="10" xfId="0" applyFont="1" applyFill="1" applyBorder="1">
      <alignment vertical="center"/>
    </xf>
    <xf numFmtId="0" fontId="11" fillId="13" borderId="5" xfId="0" applyFont="1" applyFill="1" applyBorder="1">
      <alignment vertical="center"/>
    </xf>
    <xf numFmtId="0" fontId="11" fillId="0" borderId="10" xfId="0" applyFont="1" applyBorder="1">
      <alignment vertical="center"/>
    </xf>
    <xf numFmtId="0" fontId="12" fillId="7" borderId="36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3" borderId="2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25" xfId="0" applyFont="1" applyFill="1" applyBorder="1">
      <alignment vertical="center"/>
    </xf>
    <xf numFmtId="0" fontId="11" fillId="3" borderId="0" xfId="0" applyFont="1" applyFill="1" applyBorder="1">
      <alignment vertical="center"/>
    </xf>
    <xf numFmtId="0" fontId="11" fillId="3" borderId="10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0" borderId="20" xfId="0" applyFont="1" applyBorder="1" applyAlignment="1">
      <alignment horizontal="center" vertical="center"/>
    </xf>
    <xf numFmtId="0" fontId="28" fillId="0" borderId="0" xfId="0" applyFont="1">
      <alignment vertical="center"/>
    </xf>
    <xf numFmtId="0" fontId="22" fillId="7" borderId="31" xfId="0" applyFont="1" applyFill="1" applyBorder="1" applyAlignment="1">
      <alignment horizontal="center" vertical="center"/>
    </xf>
    <xf numFmtId="0" fontId="22" fillId="7" borderId="32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11" fillId="3" borderId="14" xfId="0" applyFont="1" applyFill="1" applyBorder="1">
      <alignment vertical="center"/>
    </xf>
    <xf numFmtId="0" fontId="22" fillId="7" borderId="31" xfId="0" applyNumberFormat="1" applyFont="1" applyFill="1" applyBorder="1" applyAlignment="1">
      <alignment horizontal="center" vertical="center"/>
    </xf>
    <xf numFmtId="0" fontId="22" fillId="7" borderId="32" xfId="0" applyNumberFormat="1" applyFont="1" applyFill="1" applyBorder="1" applyAlignment="1">
      <alignment horizontal="center" vertical="center"/>
    </xf>
    <xf numFmtId="0" fontId="11" fillId="3" borderId="29" xfId="0" applyFont="1" applyFill="1" applyBorder="1">
      <alignment vertical="center"/>
    </xf>
    <xf numFmtId="0" fontId="11" fillId="3" borderId="11" xfId="0" applyFont="1" applyFill="1" applyBorder="1">
      <alignment vertical="center"/>
    </xf>
    <xf numFmtId="0" fontId="22" fillId="7" borderId="36" xfId="0" applyNumberFormat="1" applyFont="1" applyFill="1" applyBorder="1" applyAlignment="1">
      <alignment horizontal="center" vertical="center"/>
    </xf>
    <xf numFmtId="0" fontId="11" fillId="13" borderId="14" xfId="0" applyFont="1" applyFill="1" applyBorder="1">
      <alignment vertical="center"/>
    </xf>
    <xf numFmtId="0" fontId="11" fillId="13" borderId="29" xfId="0" applyFont="1" applyFill="1" applyBorder="1">
      <alignment vertical="center"/>
    </xf>
    <xf numFmtId="0" fontId="11" fillId="13" borderId="11" xfId="0" applyFont="1" applyFill="1" applyBorder="1">
      <alignment vertical="center"/>
    </xf>
    <xf numFmtId="0" fontId="17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0" borderId="40" xfId="0" applyFont="1" applyBorder="1">
      <alignment vertical="center"/>
    </xf>
    <xf numFmtId="0" fontId="12" fillId="4" borderId="1" xfId="0" applyFont="1" applyFill="1" applyBorder="1" applyProtection="1">
      <alignment vertical="center"/>
      <protection locked="0"/>
    </xf>
    <xf numFmtId="0" fontId="11" fillId="7" borderId="1" xfId="0" applyFont="1" applyFill="1" applyBorder="1">
      <alignment vertical="center"/>
    </xf>
    <xf numFmtId="0" fontId="11" fillId="0" borderId="40" xfId="0" applyFont="1" applyFill="1" applyBorder="1">
      <alignment vertical="center"/>
    </xf>
    <xf numFmtId="0" fontId="29" fillId="15" borderId="1" xfId="0" applyFont="1" applyFill="1" applyBorder="1" applyAlignment="1">
      <alignment horizontal="center" vertical="center"/>
    </xf>
    <xf numFmtId="0" fontId="11" fillId="3" borderId="40" xfId="0" applyFont="1" applyFill="1" applyBorder="1">
      <alignment vertical="center"/>
    </xf>
    <xf numFmtId="0" fontId="11" fillId="3" borderId="45" xfId="0" applyFont="1" applyFill="1" applyBorder="1">
      <alignment vertical="center"/>
    </xf>
    <xf numFmtId="0" fontId="11" fillId="0" borderId="41" xfId="0" applyFont="1" applyBorder="1">
      <alignment vertical="center"/>
    </xf>
    <xf numFmtId="0" fontId="11" fillId="0" borderId="42" xfId="0" applyFont="1" applyFill="1" applyBorder="1">
      <alignment vertical="center"/>
    </xf>
    <xf numFmtId="0" fontId="11" fillId="0" borderId="43" xfId="0" applyFont="1" applyBorder="1">
      <alignment vertical="center"/>
    </xf>
    <xf numFmtId="0" fontId="11" fillId="0" borderId="44" xfId="0" applyFont="1" applyFill="1" applyBorder="1">
      <alignment vertical="center"/>
    </xf>
    <xf numFmtId="0" fontId="11" fillId="0" borderId="13" xfId="0" applyFont="1" applyBorder="1">
      <alignment vertical="center"/>
    </xf>
    <xf numFmtId="0" fontId="11" fillId="0" borderId="45" xfId="0" applyFont="1" applyBorder="1">
      <alignment vertical="center"/>
    </xf>
    <xf numFmtId="0" fontId="11" fillId="0" borderId="46" xfId="0" applyFont="1" applyBorder="1">
      <alignment vertical="center"/>
    </xf>
    <xf numFmtId="0" fontId="30" fillId="2" borderId="39" xfId="0" applyFont="1" applyFill="1" applyBorder="1" applyAlignment="1">
      <alignment horizontal="center" vertical="center" wrapText="1"/>
    </xf>
    <xf numFmtId="179" fontId="12" fillId="7" borderId="1" xfId="0" applyNumberFormat="1" applyFont="1" applyFill="1" applyBorder="1">
      <alignment vertical="center"/>
    </xf>
    <xf numFmtId="179" fontId="11" fillId="7" borderId="1" xfId="0" applyNumberFormat="1" applyFont="1" applyFill="1" applyBorder="1">
      <alignment vertical="center"/>
    </xf>
    <xf numFmtId="179" fontId="11" fillId="0" borderId="46" xfId="0" applyNumberFormat="1" applyFont="1" applyBorder="1">
      <alignment vertical="center"/>
    </xf>
    <xf numFmtId="0" fontId="17" fillId="2" borderId="39" xfId="0" applyFont="1" applyFill="1" applyBorder="1" applyAlignment="1">
      <alignment horizontal="center" vertical="center"/>
    </xf>
    <xf numFmtId="0" fontId="12" fillId="7" borderId="1" xfId="0" applyFont="1" applyFill="1" applyBorder="1">
      <alignment vertical="center"/>
    </xf>
    <xf numFmtId="0" fontId="11" fillId="0" borderId="45" xfId="0" applyFont="1" applyFill="1" applyBorder="1">
      <alignment vertical="center"/>
    </xf>
    <xf numFmtId="0" fontId="11" fillId="7" borderId="46" xfId="0" applyFont="1" applyFill="1" applyBorder="1">
      <alignment vertical="center"/>
    </xf>
    <xf numFmtId="0" fontId="17" fillId="1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0" fontId="11" fillId="16" borderId="39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48" xfId="0" applyFont="1" applyBorder="1">
      <alignment vertical="center"/>
    </xf>
    <xf numFmtId="0" fontId="27" fillId="0" borderId="1" xfId="0" applyFont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7" fillId="0" borderId="48" xfId="0" applyFont="1" applyBorder="1" applyAlignment="1">
      <alignment horizontal="left" vertical="center"/>
    </xf>
    <xf numFmtId="0" fontId="23" fillId="0" borderId="52" xfId="0" applyFont="1" applyBorder="1" applyAlignment="1">
      <alignment horizontal="left" vertical="center"/>
    </xf>
    <xf numFmtId="0" fontId="17" fillId="2" borderId="34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1" fillId="3" borderId="42" xfId="0" applyFont="1" applyFill="1" applyBorder="1">
      <alignment vertical="center"/>
    </xf>
    <xf numFmtId="0" fontId="11" fillId="7" borderId="43" xfId="0" applyFont="1" applyFill="1" applyBorder="1" applyAlignment="1" applyProtection="1">
      <alignment horizontal="right" vertical="center"/>
    </xf>
    <xf numFmtId="0" fontId="11" fillId="3" borderId="58" xfId="0" applyFont="1" applyFill="1" applyBorder="1">
      <alignment vertical="center"/>
    </xf>
    <xf numFmtId="0" fontId="11" fillId="7" borderId="34" xfId="0" applyFont="1" applyFill="1" applyBorder="1" applyAlignment="1" applyProtection="1">
      <alignment horizontal="right" vertical="center"/>
    </xf>
    <xf numFmtId="0" fontId="11" fillId="0" borderId="51" xfId="0" applyFont="1" applyBorder="1">
      <alignment vertical="center"/>
    </xf>
    <xf numFmtId="0" fontId="11" fillId="0" borderId="44" xfId="0" applyFont="1" applyBorder="1">
      <alignment vertical="center"/>
    </xf>
    <xf numFmtId="0" fontId="11" fillId="0" borderId="43" xfId="0" applyFont="1" applyBorder="1" applyAlignment="1" applyProtection="1">
      <alignment horizontal="right" vertical="center"/>
      <protection locked="0"/>
    </xf>
    <xf numFmtId="0" fontId="11" fillId="0" borderId="52" xfId="0" applyFont="1" applyBorder="1">
      <alignment vertical="center"/>
    </xf>
    <xf numFmtId="0" fontId="11" fillId="0" borderId="59" xfId="0" applyFont="1" applyBorder="1">
      <alignment vertical="center"/>
    </xf>
    <xf numFmtId="0" fontId="11" fillId="0" borderId="54" xfId="0" applyFont="1" applyBorder="1" applyAlignment="1" applyProtection="1">
      <alignment horizontal="right" vertical="center"/>
      <protection locked="0"/>
    </xf>
    <xf numFmtId="0" fontId="29" fillId="0" borderId="55" xfId="0" applyFont="1" applyFill="1" applyBorder="1">
      <alignment vertical="center"/>
    </xf>
    <xf numFmtId="0" fontId="17" fillId="2" borderId="56" xfId="0" applyFont="1" applyFill="1" applyBorder="1" applyAlignment="1">
      <alignment horizontal="center" vertical="center"/>
    </xf>
    <xf numFmtId="0" fontId="17" fillId="16" borderId="39" xfId="0" applyFont="1" applyFill="1" applyBorder="1" applyAlignment="1">
      <alignment horizontal="center" vertical="center"/>
    </xf>
    <xf numFmtId="0" fontId="11" fillId="0" borderId="48" xfId="0" applyFont="1" applyFill="1" applyBorder="1">
      <alignment vertical="center"/>
    </xf>
    <xf numFmtId="0" fontId="11" fillId="13" borderId="1" xfId="0" applyFont="1" applyFill="1" applyBorder="1">
      <alignment vertical="center"/>
    </xf>
    <xf numFmtId="0" fontId="12" fillId="7" borderId="46" xfId="0" applyFont="1" applyFill="1" applyBorder="1">
      <alignment vertical="center"/>
    </xf>
    <xf numFmtId="0" fontId="17" fillId="11" borderId="1" xfId="0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2" fillId="17" borderId="0" xfId="0" applyFont="1" applyFill="1">
      <alignment vertical="center"/>
    </xf>
    <xf numFmtId="0" fontId="17" fillId="16" borderId="56" xfId="0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/>
    </xf>
    <xf numFmtId="0" fontId="27" fillId="0" borderId="1" xfId="0" applyFont="1" applyBorder="1">
      <alignment vertical="center"/>
    </xf>
    <xf numFmtId="0" fontId="32" fillId="0" borderId="1" xfId="0" applyFont="1" applyBorder="1">
      <alignment vertical="center"/>
    </xf>
    <xf numFmtId="0" fontId="31" fillId="0" borderId="1" xfId="0" applyFont="1" applyBorder="1">
      <alignment vertical="center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Fill="1" applyBorder="1">
      <alignment vertical="center"/>
    </xf>
    <xf numFmtId="0" fontId="23" fillId="0" borderId="1" xfId="0" applyFont="1" applyBorder="1">
      <alignment vertical="center"/>
    </xf>
    <xf numFmtId="179" fontId="11" fillId="0" borderId="1" xfId="0" applyNumberFormat="1" applyFont="1" applyBorder="1">
      <alignment vertical="center"/>
    </xf>
    <xf numFmtId="179" fontId="11" fillId="0" borderId="1" xfId="0" applyNumberFormat="1" applyFont="1" applyFill="1" applyBorder="1" applyAlignment="1">
      <alignment horizontal="right" vertical="center"/>
    </xf>
    <xf numFmtId="0" fontId="11" fillId="0" borderId="20" xfId="0" applyFont="1" applyBorder="1">
      <alignment vertical="center"/>
    </xf>
    <xf numFmtId="0" fontId="23" fillId="13" borderId="1" xfId="0" applyFont="1" applyFill="1" applyBorder="1">
      <alignment vertical="center"/>
    </xf>
    <xf numFmtId="0" fontId="23" fillId="13" borderId="46" xfId="0" applyFont="1" applyFill="1" applyBorder="1">
      <alignment vertical="center"/>
    </xf>
    <xf numFmtId="0" fontId="17" fillId="16" borderId="47" xfId="0" applyFont="1" applyFill="1" applyBorder="1" applyAlignment="1">
      <alignment horizontal="center" vertical="center"/>
    </xf>
    <xf numFmtId="179" fontId="23" fillId="7" borderId="1" xfId="0" applyNumberFormat="1" applyFont="1" applyFill="1" applyBorder="1">
      <alignment vertical="center"/>
    </xf>
    <xf numFmtId="179" fontId="11" fillId="7" borderId="46" xfId="0" applyNumberFormat="1" applyFont="1" applyFill="1" applyBorder="1">
      <alignment vertical="center"/>
    </xf>
    <xf numFmtId="0" fontId="23" fillId="7" borderId="1" xfId="0" applyFont="1" applyFill="1" applyBorder="1">
      <alignment vertical="center"/>
    </xf>
    <xf numFmtId="0" fontId="11" fillId="0" borderId="46" xfId="0" applyFont="1" applyFill="1" applyBorder="1">
      <alignment vertical="center"/>
    </xf>
    <xf numFmtId="0" fontId="23" fillId="0" borderId="52" xfId="0" applyFont="1" applyBorder="1">
      <alignment vertical="center"/>
    </xf>
    <xf numFmtId="0" fontId="17" fillId="16" borderId="57" xfId="0" applyFont="1" applyFill="1" applyBorder="1" applyAlignment="1">
      <alignment horizontal="center" vertical="center"/>
    </xf>
    <xf numFmtId="0" fontId="11" fillId="0" borderId="20" xfId="0" applyFont="1" applyFill="1" applyBorder="1">
      <alignment vertical="center"/>
    </xf>
    <xf numFmtId="0" fontId="14" fillId="0" borderId="0" xfId="0" applyFont="1" applyAlignment="1">
      <alignment vertical="center" wrapText="1"/>
    </xf>
    <xf numFmtId="0" fontId="11" fillId="18" borderId="1" xfId="0" applyFont="1" applyFill="1" applyBorder="1">
      <alignment vertical="center"/>
    </xf>
    <xf numFmtId="0" fontId="27" fillId="19" borderId="1" xfId="0" applyFont="1" applyFill="1" applyBorder="1" applyAlignment="1">
      <alignment horizontal="center" vertical="center" wrapText="1"/>
    </xf>
    <xf numFmtId="0" fontId="27" fillId="18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7" fillId="18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horizontal="center" vertical="center"/>
    </xf>
    <xf numFmtId="0" fontId="27" fillId="21" borderId="1" xfId="0" applyFont="1" applyFill="1" applyBorder="1" applyAlignment="1">
      <alignment horizontal="center" vertical="center" wrapText="1"/>
    </xf>
    <xf numFmtId="0" fontId="27" fillId="21" borderId="1" xfId="0" applyFont="1" applyFill="1" applyBorder="1" applyAlignment="1">
      <alignment horizontal="center" vertical="center"/>
    </xf>
    <xf numFmtId="0" fontId="11" fillId="0" borderId="41" xfId="0" applyFont="1" applyBorder="1" quotePrefix="1">
      <alignment vertical="center"/>
    </xf>
    <xf numFmtId="0" fontId="0" fillId="0" borderId="41" xfId="0" applyBorder="1" quotePrefix="1">
      <alignment vertical="center"/>
    </xf>
    <xf numFmtId="49" fontId="11" fillId="0" borderId="0" xfId="0" applyNumberFormat="1" applyFont="1" quotePrefix="1">
      <alignment vertical="center"/>
    </xf>
    <xf numFmtId="49" fontId="11" fillId="0" borderId="0" xfId="0" applyNumberFormat="1" applyFont="1" applyFill="1" quotePrefix="1">
      <alignment vertical="center"/>
    </xf>
    <xf numFmtId="0" fontId="11" fillId="0" borderId="0" xfId="0" applyNumberFormat="1" applyFont="1" applyFill="1" quotePrefix="1">
      <alignment vertical="center"/>
    </xf>
    <xf numFmtId="0" fontId="11" fillId="0" borderId="0" xfId="0" applyFont="1" applyAlignment="1" quotePrefix="1">
      <alignment horizontal="left" vertical="center"/>
    </xf>
    <xf numFmtId="0" fontId="11" fillId="0" borderId="0" xfId="0" applyFont="1" quotePrefix="1">
      <alignment vertical="center"/>
    </xf>
    <xf numFmtId="0" fontId="11" fillId="0" borderId="0" xfId="0" applyFont="1" applyAlignment="1" quotePrefix="1">
      <alignment horizontal="center" vertical="center"/>
    </xf>
    <xf numFmtId="0" fontId="1" fillId="4" borderId="1" xfId="0" applyFont="1" applyFill="1" applyBorder="1" applyAlignment="1" applyProtection="1" quotePrefix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ill>
        <patternFill patternType="solid">
          <bgColor indexed="22"/>
        </patternFill>
      </fill>
    </dxf>
    <dxf>
      <font>
        <color auto="1"/>
      </font>
      <fill>
        <patternFill patternType="solid">
          <bgColor indexed="5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2"/>
        </patternFill>
      </fill>
    </dxf>
    <dxf>
      <fill>
        <patternFill patternType="solid">
          <bgColor indexed="52"/>
        </patternFill>
      </fill>
    </dxf>
  </dxfs>
  <tableStyles count="0" defaultTableStyle="TableStyleMedium2" defaultPivotStyle="PivotStyleLight16"/>
  <colors>
    <mruColors>
      <color rgb="0099CCFF"/>
      <color rgb="00FF99CC"/>
      <color rgb="00FF0000"/>
      <color rgb="00FFFF00"/>
      <color rgb="00CCFFFF"/>
      <color rgb="00333333"/>
      <color rgb="00FFFFFF"/>
      <color rgb="00CCFFCC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48</xdr:col>
      <xdr:colOff>66675</xdr:colOff>
      <xdr:row>64</xdr:row>
      <xdr:rowOff>133350</xdr:rowOff>
    </xdr:from>
    <xdr:to>
      <xdr:col>83</xdr:col>
      <xdr:colOff>57150</xdr:colOff>
      <xdr:row>75</xdr:row>
      <xdr:rowOff>57150</xdr:rowOff>
    </xdr:to>
    <xdr:pic>
      <xdr:nvPicPr>
        <xdr:cNvPr id="40469" name="図 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43725" y="12344400"/>
          <a:ext cx="4324350" cy="201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25</xdr:col>
      <xdr:colOff>9525</xdr:colOff>
      <xdr:row>17</xdr:row>
      <xdr:rowOff>85725</xdr:rowOff>
    </xdr:from>
    <xdr:to>
      <xdr:col>28</xdr:col>
      <xdr:colOff>104775</xdr:colOff>
      <xdr:row>17</xdr:row>
      <xdr:rowOff>85725</xdr:rowOff>
    </xdr:to>
    <xdr:sp>
      <xdr:nvSpPr>
        <xdr:cNvPr id="40470" name="Line 1"/>
        <xdr:cNvSpPr/>
      </xdr:nvSpPr>
      <xdr:spPr>
        <a:xfrm>
          <a:off x="4038600" y="3343275"/>
          <a:ext cx="4667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0</xdr:colOff>
      <xdr:row>17</xdr:row>
      <xdr:rowOff>85725</xdr:rowOff>
    </xdr:from>
    <xdr:to>
      <xdr:col>34</xdr:col>
      <xdr:colOff>104775</xdr:colOff>
      <xdr:row>17</xdr:row>
      <xdr:rowOff>85725</xdr:rowOff>
    </xdr:to>
    <xdr:sp>
      <xdr:nvSpPr>
        <xdr:cNvPr id="40471" name="Line 2"/>
        <xdr:cNvSpPr/>
      </xdr:nvSpPr>
      <xdr:spPr>
        <a:xfrm>
          <a:off x="4524375" y="3343275"/>
          <a:ext cx="723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35</xdr:col>
      <xdr:colOff>0</xdr:colOff>
      <xdr:row>17</xdr:row>
      <xdr:rowOff>85725</xdr:rowOff>
    </xdr:from>
    <xdr:to>
      <xdr:col>60</xdr:col>
      <xdr:colOff>0</xdr:colOff>
      <xdr:row>17</xdr:row>
      <xdr:rowOff>85725</xdr:rowOff>
    </xdr:to>
    <xdr:sp>
      <xdr:nvSpPr>
        <xdr:cNvPr id="40472" name="Line 3"/>
        <xdr:cNvSpPr/>
      </xdr:nvSpPr>
      <xdr:spPr>
        <a:xfrm>
          <a:off x="5267325" y="3343275"/>
          <a:ext cx="3095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60</xdr:col>
      <xdr:colOff>9525</xdr:colOff>
      <xdr:row>17</xdr:row>
      <xdr:rowOff>85725</xdr:rowOff>
    </xdr:from>
    <xdr:to>
      <xdr:col>75</xdr:col>
      <xdr:colOff>104775</xdr:colOff>
      <xdr:row>17</xdr:row>
      <xdr:rowOff>85725</xdr:rowOff>
    </xdr:to>
    <xdr:sp>
      <xdr:nvSpPr>
        <xdr:cNvPr id="40473" name="Line 4"/>
        <xdr:cNvSpPr/>
      </xdr:nvSpPr>
      <xdr:spPr>
        <a:xfrm>
          <a:off x="8372475" y="3343275"/>
          <a:ext cx="1952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4</xdr:row>
      <xdr:rowOff>85725</xdr:rowOff>
    </xdr:from>
    <xdr:to>
      <xdr:col>31</xdr:col>
      <xdr:colOff>104775</xdr:colOff>
      <xdr:row>4</xdr:row>
      <xdr:rowOff>85725</xdr:rowOff>
    </xdr:to>
    <xdr:sp>
      <xdr:nvSpPr>
        <xdr:cNvPr id="40474" name="Line 5"/>
        <xdr:cNvSpPr/>
      </xdr:nvSpPr>
      <xdr:spPr>
        <a:xfrm>
          <a:off x="4400550" y="866775"/>
          <a:ext cx="476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32</xdr:col>
      <xdr:colOff>0</xdr:colOff>
      <xdr:row>4</xdr:row>
      <xdr:rowOff>85725</xdr:rowOff>
    </xdr:from>
    <xdr:to>
      <xdr:col>37</xdr:col>
      <xdr:colOff>0</xdr:colOff>
      <xdr:row>4</xdr:row>
      <xdr:rowOff>85725</xdr:rowOff>
    </xdr:to>
    <xdr:sp>
      <xdr:nvSpPr>
        <xdr:cNvPr id="40475" name="Line 6"/>
        <xdr:cNvSpPr/>
      </xdr:nvSpPr>
      <xdr:spPr>
        <a:xfrm>
          <a:off x="4895850" y="866775"/>
          <a:ext cx="6191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37</xdr:col>
      <xdr:colOff>9525</xdr:colOff>
      <xdr:row>4</xdr:row>
      <xdr:rowOff>85725</xdr:rowOff>
    </xdr:from>
    <xdr:to>
      <xdr:col>65</xdr:col>
      <xdr:colOff>9525</xdr:colOff>
      <xdr:row>4</xdr:row>
      <xdr:rowOff>85725</xdr:rowOff>
    </xdr:to>
    <xdr:sp>
      <xdr:nvSpPr>
        <xdr:cNvPr id="40476" name="Line 7"/>
        <xdr:cNvSpPr/>
      </xdr:nvSpPr>
      <xdr:spPr>
        <a:xfrm>
          <a:off x="5524500" y="866775"/>
          <a:ext cx="34671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65</xdr:col>
      <xdr:colOff>9525</xdr:colOff>
      <xdr:row>4</xdr:row>
      <xdr:rowOff>85725</xdr:rowOff>
    </xdr:from>
    <xdr:to>
      <xdr:col>78</xdr:col>
      <xdr:colOff>95250</xdr:colOff>
      <xdr:row>4</xdr:row>
      <xdr:rowOff>85725</xdr:rowOff>
    </xdr:to>
    <xdr:sp>
      <xdr:nvSpPr>
        <xdr:cNvPr id="40477" name="Line 8"/>
        <xdr:cNvSpPr/>
      </xdr:nvSpPr>
      <xdr:spPr>
        <a:xfrm>
          <a:off x="8991600" y="866775"/>
          <a:ext cx="16954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24</xdr:col>
      <xdr:colOff>114300</xdr:colOff>
      <xdr:row>10</xdr:row>
      <xdr:rowOff>114300</xdr:rowOff>
    </xdr:from>
    <xdr:to>
      <xdr:col>28</xdr:col>
      <xdr:colOff>19050</xdr:colOff>
      <xdr:row>10</xdr:row>
      <xdr:rowOff>114300</xdr:rowOff>
    </xdr:to>
    <xdr:sp>
      <xdr:nvSpPr>
        <xdr:cNvPr id="40478" name="Line 9"/>
        <xdr:cNvSpPr/>
      </xdr:nvSpPr>
      <xdr:spPr>
        <a:xfrm>
          <a:off x="4019550" y="2038350"/>
          <a:ext cx="4000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23</xdr:row>
      <xdr:rowOff>9525</xdr:rowOff>
    </xdr:from>
    <xdr:to>
      <xdr:col>17</xdr:col>
      <xdr:colOff>104775</xdr:colOff>
      <xdr:row>25</xdr:row>
      <xdr:rowOff>180975</xdr:rowOff>
    </xdr:to>
    <xdr:sp>
      <xdr:nvSpPr>
        <xdr:cNvPr id="40479" name="Line 10"/>
        <xdr:cNvSpPr/>
      </xdr:nvSpPr>
      <xdr:spPr>
        <a:xfrm>
          <a:off x="3028950" y="4410075"/>
          <a:ext cx="0" cy="5524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26</xdr:row>
      <xdr:rowOff>0</xdr:rowOff>
    </xdr:from>
    <xdr:to>
      <xdr:col>17</xdr:col>
      <xdr:colOff>104775</xdr:colOff>
      <xdr:row>31</xdr:row>
      <xdr:rowOff>171450</xdr:rowOff>
    </xdr:to>
    <xdr:sp>
      <xdr:nvSpPr>
        <xdr:cNvPr id="40480" name="Line 11"/>
        <xdr:cNvSpPr/>
      </xdr:nvSpPr>
      <xdr:spPr>
        <a:xfrm>
          <a:off x="3028950" y="4972050"/>
          <a:ext cx="0" cy="11239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32</xdr:row>
      <xdr:rowOff>28575</xdr:rowOff>
    </xdr:from>
    <xdr:to>
      <xdr:col>17</xdr:col>
      <xdr:colOff>104775</xdr:colOff>
      <xdr:row>45</xdr:row>
      <xdr:rowOff>171450</xdr:rowOff>
    </xdr:to>
    <xdr:sp>
      <xdr:nvSpPr>
        <xdr:cNvPr id="40481" name="Line 12"/>
        <xdr:cNvSpPr/>
      </xdr:nvSpPr>
      <xdr:spPr>
        <a:xfrm>
          <a:off x="3028950" y="6143625"/>
          <a:ext cx="0" cy="26193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46</xdr:row>
      <xdr:rowOff>9525</xdr:rowOff>
    </xdr:from>
    <xdr:to>
      <xdr:col>17</xdr:col>
      <xdr:colOff>104775</xdr:colOff>
      <xdr:row>50</xdr:row>
      <xdr:rowOff>180975</xdr:rowOff>
    </xdr:to>
    <xdr:sp>
      <xdr:nvSpPr>
        <xdr:cNvPr id="40482" name="Line 13"/>
        <xdr:cNvSpPr/>
      </xdr:nvSpPr>
      <xdr:spPr>
        <a:xfrm>
          <a:off x="3028950" y="8791575"/>
          <a:ext cx="0" cy="9334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9525</xdr:colOff>
      <xdr:row>23</xdr:row>
      <xdr:rowOff>28575</xdr:rowOff>
    </xdr:from>
    <xdr:to>
      <xdr:col>3</xdr:col>
      <xdr:colOff>9525</xdr:colOff>
      <xdr:row>27</xdr:row>
      <xdr:rowOff>180975</xdr:rowOff>
    </xdr:to>
    <xdr:sp>
      <xdr:nvSpPr>
        <xdr:cNvPr id="40483" name="Line 14"/>
        <xdr:cNvSpPr/>
      </xdr:nvSpPr>
      <xdr:spPr>
        <a:xfrm>
          <a:off x="1019175" y="4429125"/>
          <a:ext cx="0" cy="914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32</xdr:row>
      <xdr:rowOff>9525</xdr:rowOff>
    </xdr:from>
    <xdr:to>
      <xdr:col>3</xdr:col>
      <xdr:colOff>0</xdr:colOff>
      <xdr:row>45</xdr:row>
      <xdr:rowOff>171450</xdr:rowOff>
    </xdr:to>
    <xdr:sp>
      <xdr:nvSpPr>
        <xdr:cNvPr id="40484" name="Line 15"/>
        <xdr:cNvSpPr/>
      </xdr:nvSpPr>
      <xdr:spPr>
        <a:xfrm>
          <a:off x="1009650" y="612457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28</xdr:row>
      <xdr:rowOff>9525</xdr:rowOff>
    </xdr:from>
    <xdr:to>
      <xdr:col>3</xdr:col>
      <xdr:colOff>0</xdr:colOff>
      <xdr:row>31</xdr:row>
      <xdr:rowOff>180975</xdr:rowOff>
    </xdr:to>
    <xdr:sp>
      <xdr:nvSpPr>
        <xdr:cNvPr id="40485" name="Line 16"/>
        <xdr:cNvSpPr/>
      </xdr:nvSpPr>
      <xdr:spPr>
        <a:xfrm>
          <a:off x="1009650" y="5362575"/>
          <a:ext cx="0" cy="7429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51</xdr:row>
      <xdr:rowOff>9525</xdr:rowOff>
    </xdr:to>
    <xdr:sp>
      <xdr:nvSpPr>
        <xdr:cNvPr id="40486" name="Line 17"/>
        <xdr:cNvSpPr/>
      </xdr:nvSpPr>
      <xdr:spPr>
        <a:xfrm>
          <a:off x="1009650" y="8791575"/>
          <a:ext cx="0" cy="9525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22</xdr:row>
      <xdr:rowOff>38100</xdr:rowOff>
    </xdr:from>
    <xdr:to>
      <xdr:col>12</xdr:col>
      <xdr:colOff>19050</xdr:colOff>
      <xdr:row>49</xdr:row>
      <xdr:rowOff>66675</xdr:rowOff>
    </xdr:to>
    <xdr:sp>
      <xdr:nvSpPr>
        <xdr:cNvPr id="2" name="Text Box 22"/>
        <xdr:cNvSpPr txBox="1">
          <a:spLocks noChangeArrowheads="1"/>
        </xdr:cNvSpPr>
      </xdr:nvSpPr>
      <xdr:spPr>
        <a:xfrm>
          <a:off x="2057400" y="424815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104775</xdr:colOff>
      <xdr:row>12</xdr:row>
      <xdr:rowOff>76200</xdr:rowOff>
    </xdr:from>
    <xdr:to>
      <xdr:col>75</xdr:col>
      <xdr:colOff>28575</xdr:colOff>
      <xdr:row>13</xdr:row>
      <xdr:rowOff>104775</xdr:rowOff>
    </xdr:to>
    <xdr:sp>
      <xdr:nvSpPr>
        <xdr:cNvPr id="3" name="Text Box 23"/>
        <xdr:cNvSpPr txBox="1">
          <a:spLocks noChangeArrowheads="1"/>
        </xdr:cNvSpPr>
      </xdr:nvSpPr>
      <xdr:spPr>
        <a:xfrm>
          <a:off x="4133850" y="2381250"/>
          <a:ext cx="61150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27</xdr:col>
      <xdr:colOff>104775</xdr:colOff>
      <xdr:row>0</xdr:row>
      <xdr:rowOff>33447</xdr:rowOff>
    </xdr:from>
    <xdr:to>
      <xdr:col>77</xdr:col>
      <xdr:colOff>28575</xdr:colOff>
      <xdr:row>1</xdr:row>
      <xdr:rowOff>11799</xdr:rowOff>
    </xdr:to>
    <xdr:sp>
      <xdr:nvSpPr>
        <xdr:cNvPr id="4" name="Text Box 24"/>
        <xdr:cNvSpPr txBox="1">
          <a:spLocks noChangeArrowheads="1"/>
        </xdr:cNvSpPr>
      </xdr:nvSpPr>
      <xdr:spPr>
        <a:xfrm>
          <a:off x="4381500" y="33020"/>
          <a:ext cx="6115050" cy="187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LVDS timinng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0</xdr:col>
      <xdr:colOff>57150</xdr:colOff>
      <xdr:row>22</xdr:row>
      <xdr:rowOff>133350</xdr:rowOff>
    </xdr:from>
    <xdr:to>
      <xdr:col>0</xdr:col>
      <xdr:colOff>323850</xdr:colOff>
      <xdr:row>49</xdr:row>
      <xdr:rowOff>161925</xdr:rowOff>
    </xdr:to>
    <xdr:sp>
      <xdr:nvSpPr>
        <xdr:cNvPr id="5" name="Text Box 25"/>
        <xdr:cNvSpPr txBox="1">
          <a:spLocks noChangeArrowheads="1"/>
        </xdr:cNvSpPr>
      </xdr:nvSpPr>
      <xdr:spPr>
        <a:xfrm>
          <a:off x="57150" y="434340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LVDS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36</xdr:col>
      <xdr:colOff>114300</xdr:colOff>
      <xdr:row>51</xdr:row>
      <xdr:rowOff>180975</xdr:rowOff>
    </xdr:from>
    <xdr:to>
      <xdr:col>36</xdr:col>
      <xdr:colOff>114300</xdr:colOff>
      <xdr:row>65</xdr:row>
      <xdr:rowOff>152400</xdr:rowOff>
    </xdr:to>
    <xdr:sp>
      <xdr:nvSpPr>
        <xdr:cNvPr id="40491" name="Line 63"/>
        <xdr:cNvSpPr/>
      </xdr:nvSpPr>
      <xdr:spPr>
        <a:xfrm>
          <a:off x="5505450" y="991552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65</xdr:col>
      <xdr:colOff>0</xdr:colOff>
      <xdr:row>51</xdr:row>
      <xdr:rowOff>152400</xdr:rowOff>
    </xdr:from>
    <xdr:to>
      <xdr:col>65</xdr:col>
      <xdr:colOff>0</xdr:colOff>
      <xdr:row>65</xdr:row>
      <xdr:rowOff>123825</xdr:rowOff>
    </xdr:to>
    <xdr:sp>
      <xdr:nvSpPr>
        <xdr:cNvPr id="40492" name="Line 64"/>
        <xdr:cNvSpPr/>
      </xdr:nvSpPr>
      <xdr:spPr>
        <a:xfrm>
          <a:off x="8982075" y="9886950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71</xdr:col>
      <xdr:colOff>66675</xdr:colOff>
      <xdr:row>64</xdr:row>
      <xdr:rowOff>57150</xdr:rowOff>
    </xdr:from>
    <xdr:to>
      <xdr:col>84</xdr:col>
      <xdr:colOff>85725</xdr:colOff>
      <xdr:row>65</xdr:row>
      <xdr:rowOff>57150</xdr:rowOff>
    </xdr:to>
    <xdr:sp>
      <xdr:nvSpPr>
        <xdr:cNvPr id="6" name="Text Box 92"/>
        <xdr:cNvSpPr txBox="1">
          <a:spLocks noChangeArrowheads="1"/>
        </xdr:cNvSpPr>
      </xdr:nvSpPr>
      <xdr:spPr>
        <a:xfrm>
          <a:off x="9791700" y="12268200"/>
          <a:ext cx="16287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Default LVDS bit mapping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74</xdr:col>
      <xdr:colOff>28575</xdr:colOff>
      <xdr:row>61</xdr:row>
      <xdr:rowOff>28575</xdr:rowOff>
    </xdr:from>
    <xdr:to>
      <xdr:col>76</xdr:col>
      <xdr:colOff>104775</xdr:colOff>
      <xdr:row>63</xdr:row>
      <xdr:rowOff>171450</xdr:rowOff>
    </xdr:to>
    <xdr:sp>
      <xdr:nvSpPr>
        <xdr:cNvPr id="40494" name="Line 93"/>
        <xdr:cNvSpPr/>
      </xdr:nvSpPr>
      <xdr:spPr>
        <a:xfrm flipH="1">
          <a:off x="10125075" y="11668125"/>
          <a:ext cx="323850" cy="523875"/>
        </a:xfrm>
        <a:prstGeom prst="line">
          <a:avLst/>
        </a:prstGeom>
        <a:ln w="9525" cap="flat" cmpd="sng">
          <a:solidFill>
            <a:srgbClr val="9933FF"/>
          </a:solidFill>
          <a:prstDash val="solid"/>
          <a:round/>
          <a:headEnd type="none" w="med" len="med"/>
          <a:tailEnd type="triangle" w="lg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95250</xdr:colOff>
      <xdr:row>17</xdr:row>
      <xdr:rowOff>85725</xdr:rowOff>
    </xdr:from>
    <xdr:to>
      <xdr:col>34</xdr:col>
      <xdr:colOff>104775</xdr:colOff>
      <xdr:row>17</xdr:row>
      <xdr:rowOff>85725</xdr:rowOff>
    </xdr:to>
    <xdr:sp>
      <xdr:nvSpPr>
        <xdr:cNvPr id="41348" name="Line 2"/>
        <xdr:cNvSpPr/>
      </xdr:nvSpPr>
      <xdr:spPr>
        <a:xfrm>
          <a:off x="4000500" y="3343275"/>
          <a:ext cx="12477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35</xdr:col>
      <xdr:colOff>0</xdr:colOff>
      <xdr:row>17</xdr:row>
      <xdr:rowOff>85725</xdr:rowOff>
    </xdr:from>
    <xdr:to>
      <xdr:col>60</xdr:col>
      <xdr:colOff>0</xdr:colOff>
      <xdr:row>17</xdr:row>
      <xdr:rowOff>85725</xdr:rowOff>
    </xdr:to>
    <xdr:sp>
      <xdr:nvSpPr>
        <xdr:cNvPr id="41349" name="Line 3"/>
        <xdr:cNvSpPr/>
      </xdr:nvSpPr>
      <xdr:spPr>
        <a:xfrm>
          <a:off x="5267325" y="3343275"/>
          <a:ext cx="3095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60</xdr:col>
      <xdr:colOff>9525</xdr:colOff>
      <xdr:row>17</xdr:row>
      <xdr:rowOff>85725</xdr:rowOff>
    </xdr:from>
    <xdr:to>
      <xdr:col>75</xdr:col>
      <xdr:colOff>104775</xdr:colOff>
      <xdr:row>17</xdr:row>
      <xdr:rowOff>85725</xdr:rowOff>
    </xdr:to>
    <xdr:sp>
      <xdr:nvSpPr>
        <xdr:cNvPr id="41350" name="Line 4"/>
        <xdr:cNvSpPr/>
      </xdr:nvSpPr>
      <xdr:spPr>
        <a:xfrm>
          <a:off x="8372475" y="3343275"/>
          <a:ext cx="1952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4</xdr:row>
      <xdr:rowOff>85725</xdr:rowOff>
    </xdr:from>
    <xdr:to>
      <xdr:col>31</xdr:col>
      <xdr:colOff>104775</xdr:colOff>
      <xdr:row>4</xdr:row>
      <xdr:rowOff>85725</xdr:rowOff>
    </xdr:to>
    <xdr:sp>
      <xdr:nvSpPr>
        <xdr:cNvPr id="41351" name="Line 5"/>
        <xdr:cNvSpPr/>
      </xdr:nvSpPr>
      <xdr:spPr>
        <a:xfrm>
          <a:off x="4400550" y="866775"/>
          <a:ext cx="476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32</xdr:col>
      <xdr:colOff>0</xdr:colOff>
      <xdr:row>4</xdr:row>
      <xdr:rowOff>85725</xdr:rowOff>
    </xdr:from>
    <xdr:to>
      <xdr:col>37</xdr:col>
      <xdr:colOff>0</xdr:colOff>
      <xdr:row>4</xdr:row>
      <xdr:rowOff>85725</xdr:rowOff>
    </xdr:to>
    <xdr:sp>
      <xdr:nvSpPr>
        <xdr:cNvPr id="41352" name="Line 6"/>
        <xdr:cNvSpPr/>
      </xdr:nvSpPr>
      <xdr:spPr>
        <a:xfrm>
          <a:off x="4895850" y="866775"/>
          <a:ext cx="6191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37</xdr:col>
      <xdr:colOff>9525</xdr:colOff>
      <xdr:row>4</xdr:row>
      <xdr:rowOff>85725</xdr:rowOff>
    </xdr:from>
    <xdr:to>
      <xdr:col>65</xdr:col>
      <xdr:colOff>9525</xdr:colOff>
      <xdr:row>4</xdr:row>
      <xdr:rowOff>85725</xdr:rowOff>
    </xdr:to>
    <xdr:sp>
      <xdr:nvSpPr>
        <xdr:cNvPr id="41353" name="Line 7"/>
        <xdr:cNvSpPr/>
      </xdr:nvSpPr>
      <xdr:spPr>
        <a:xfrm>
          <a:off x="5524500" y="866775"/>
          <a:ext cx="34671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65</xdr:col>
      <xdr:colOff>9525</xdr:colOff>
      <xdr:row>4</xdr:row>
      <xdr:rowOff>85725</xdr:rowOff>
    </xdr:from>
    <xdr:to>
      <xdr:col>78</xdr:col>
      <xdr:colOff>95250</xdr:colOff>
      <xdr:row>4</xdr:row>
      <xdr:rowOff>85725</xdr:rowOff>
    </xdr:to>
    <xdr:sp>
      <xdr:nvSpPr>
        <xdr:cNvPr id="41354" name="Line 8"/>
        <xdr:cNvSpPr/>
      </xdr:nvSpPr>
      <xdr:spPr>
        <a:xfrm>
          <a:off x="8991600" y="866775"/>
          <a:ext cx="16954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24</xdr:col>
      <xdr:colOff>114300</xdr:colOff>
      <xdr:row>10</xdr:row>
      <xdr:rowOff>114300</xdr:rowOff>
    </xdr:from>
    <xdr:to>
      <xdr:col>28</xdr:col>
      <xdr:colOff>19050</xdr:colOff>
      <xdr:row>10</xdr:row>
      <xdr:rowOff>114300</xdr:rowOff>
    </xdr:to>
    <xdr:sp>
      <xdr:nvSpPr>
        <xdr:cNvPr id="41355" name="Line 9"/>
        <xdr:cNvSpPr/>
      </xdr:nvSpPr>
      <xdr:spPr>
        <a:xfrm>
          <a:off x="4019550" y="2038350"/>
          <a:ext cx="4000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23</xdr:row>
      <xdr:rowOff>28575</xdr:rowOff>
    </xdr:from>
    <xdr:to>
      <xdr:col>17</xdr:col>
      <xdr:colOff>104775</xdr:colOff>
      <xdr:row>31</xdr:row>
      <xdr:rowOff>171450</xdr:rowOff>
    </xdr:to>
    <xdr:sp>
      <xdr:nvSpPr>
        <xdr:cNvPr id="41356" name="Line 11"/>
        <xdr:cNvSpPr/>
      </xdr:nvSpPr>
      <xdr:spPr>
        <a:xfrm>
          <a:off x="3028950" y="4429125"/>
          <a:ext cx="0" cy="16668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32</xdr:row>
      <xdr:rowOff>28575</xdr:rowOff>
    </xdr:from>
    <xdr:to>
      <xdr:col>17</xdr:col>
      <xdr:colOff>104775</xdr:colOff>
      <xdr:row>45</xdr:row>
      <xdr:rowOff>171450</xdr:rowOff>
    </xdr:to>
    <xdr:sp>
      <xdr:nvSpPr>
        <xdr:cNvPr id="41357" name="Line 12"/>
        <xdr:cNvSpPr/>
      </xdr:nvSpPr>
      <xdr:spPr>
        <a:xfrm>
          <a:off x="3028950" y="6143625"/>
          <a:ext cx="0" cy="26193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46</xdr:row>
      <xdr:rowOff>9525</xdr:rowOff>
    </xdr:from>
    <xdr:to>
      <xdr:col>17</xdr:col>
      <xdr:colOff>104775</xdr:colOff>
      <xdr:row>50</xdr:row>
      <xdr:rowOff>180975</xdr:rowOff>
    </xdr:to>
    <xdr:sp>
      <xdr:nvSpPr>
        <xdr:cNvPr id="41358" name="Line 13"/>
        <xdr:cNvSpPr/>
      </xdr:nvSpPr>
      <xdr:spPr>
        <a:xfrm>
          <a:off x="3028950" y="8791575"/>
          <a:ext cx="0" cy="9334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9525</xdr:colOff>
      <xdr:row>23</xdr:row>
      <xdr:rowOff>28575</xdr:rowOff>
    </xdr:from>
    <xdr:to>
      <xdr:col>3</xdr:col>
      <xdr:colOff>9525</xdr:colOff>
      <xdr:row>27</xdr:row>
      <xdr:rowOff>180975</xdr:rowOff>
    </xdr:to>
    <xdr:sp>
      <xdr:nvSpPr>
        <xdr:cNvPr id="41359" name="Line 14"/>
        <xdr:cNvSpPr/>
      </xdr:nvSpPr>
      <xdr:spPr>
        <a:xfrm>
          <a:off x="1019175" y="4429125"/>
          <a:ext cx="0" cy="914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32</xdr:row>
      <xdr:rowOff>9525</xdr:rowOff>
    </xdr:from>
    <xdr:to>
      <xdr:col>3</xdr:col>
      <xdr:colOff>0</xdr:colOff>
      <xdr:row>45</xdr:row>
      <xdr:rowOff>171450</xdr:rowOff>
    </xdr:to>
    <xdr:sp>
      <xdr:nvSpPr>
        <xdr:cNvPr id="41360" name="Line 15"/>
        <xdr:cNvSpPr/>
      </xdr:nvSpPr>
      <xdr:spPr>
        <a:xfrm>
          <a:off x="1009650" y="612457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28</xdr:row>
      <xdr:rowOff>9525</xdr:rowOff>
    </xdr:from>
    <xdr:to>
      <xdr:col>3</xdr:col>
      <xdr:colOff>0</xdr:colOff>
      <xdr:row>31</xdr:row>
      <xdr:rowOff>180975</xdr:rowOff>
    </xdr:to>
    <xdr:sp>
      <xdr:nvSpPr>
        <xdr:cNvPr id="41361" name="Line 16"/>
        <xdr:cNvSpPr/>
      </xdr:nvSpPr>
      <xdr:spPr>
        <a:xfrm>
          <a:off x="1009650" y="5362575"/>
          <a:ext cx="0" cy="7429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51</xdr:row>
      <xdr:rowOff>9525</xdr:rowOff>
    </xdr:to>
    <xdr:sp>
      <xdr:nvSpPr>
        <xdr:cNvPr id="41362" name="Line 17"/>
        <xdr:cNvSpPr/>
      </xdr:nvSpPr>
      <xdr:spPr>
        <a:xfrm>
          <a:off x="1009650" y="8791575"/>
          <a:ext cx="0" cy="9525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22</xdr:row>
      <xdr:rowOff>38100</xdr:rowOff>
    </xdr:from>
    <xdr:to>
      <xdr:col>12</xdr:col>
      <xdr:colOff>19050</xdr:colOff>
      <xdr:row>49</xdr:row>
      <xdr:rowOff>66675</xdr:rowOff>
    </xdr:to>
    <xdr:sp>
      <xdr:nvSpPr>
        <xdr:cNvPr id="2" name="Text Box 22"/>
        <xdr:cNvSpPr txBox="1">
          <a:spLocks noChangeArrowheads="1"/>
        </xdr:cNvSpPr>
      </xdr:nvSpPr>
      <xdr:spPr>
        <a:xfrm>
          <a:off x="2057400" y="424815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104775</xdr:colOff>
      <xdr:row>12</xdr:row>
      <xdr:rowOff>76200</xdr:rowOff>
    </xdr:from>
    <xdr:to>
      <xdr:col>75</xdr:col>
      <xdr:colOff>28575</xdr:colOff>
      <xdr:row>13</xdr:row>
      <xdr:rowOff>104775</xdr:rowOff>
    </xdr:to>
    <xdr:sp>
      <xdr:nvSpPr>
        <xdr:cNvPr id="3" name="Text Box 23"/>
        <xdr:cNvSpPr txBox="1">
          <a:spLocks noChangeArrowheads="1"/>
        </xdr:cNvSpPr>
      </xdr:nvSpPr>
      <xdr:spPr>
        <a:xfrm>
          <a:off x="4133850" y="2381250"/>
          <a:ext cx="61150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27</xdr:col>
      <xdr:colOff>104775</xdr:colOff>
      <xdr:row>0</xdr:row>
      <xdr:rowOff>11907</xdr:rowOff>
    </xdr:from>
    <xdr:to>
      <xdr:col>77</xdr:col>
      <xdr:colOff>28575</xdr:colOff>
      <xdr:row>1</xdr:row>
      <xdr:rowOff>9526</xdr:rowOff>
    </xdr:to>
    <xdr:sp>
      <xdr:nvSpPr>
        <xdr:cNvPr id="4" name="Text Box 24"/>
        <xdr:cNvSpPr txBox="1">
          <a:spLocks noChangeArrowheads="1"/>
        </xdr:cNvSpPr>
      </xdr:nvSpPr>
      <xdr:spPr>
        <a:xfrm>
          <a:off x="4381500" y="11430"/>
          <a:ext cx="6115050" cy="2076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LVDS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0</xdr:col>
      <xdr:colOff>57150</xdr:colOff>
      <xdr:row>22</xdr:row>
      <xdr:rowOff>133350</xdr:rowOff>
    </xdr:from>
    <xdr:to>
      <xdr:col>0</xdr:col>
      <xdr:colOff>323850</xdr:colOff>
      <xdr:row>49</xdr:row>
      <xdr:rowOff>161925</xdr:rowOff>
    </xdr:to>
    <xdr:sp>
      <xdr:nvSpPr>
        <xdr:cNvPr id="5" name="Text Box 25"/>
        <xdr:cNvSpPr txBox="1">
          <a:spLocks noChangeArrowheads="1"/>
        </xdr:cNvSpPr>
      </xdr:nvSpPr>
      <xdr:spPr>
        <a:xfrm>
          <a:off x="57150" y="434340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LVDS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36</xdr:col>
      <xdr:colOff>104775</xdr:colOff>
      <xdr:row>51</xdr:row>
      <xdr:rowOff>180975</xdr:rowOff>
    </xdr:from>
    <xdr:to>
      <xdr:col>36</xdr:col>
      <xdr:colOff>104775</xdr:colOff>
      <xdr:row>65</xdr:row>
      <xdr:rowOff>152400</xdr:rowOff>
    </xdr:to>
    <xdr:sp>
      <xdr:nvSpPr>
        <xdr:cNvPr id="41367" name="Line 67"/>
        <xdr:cNvSpPr/>
      </xdr:nvSpPr>
      <xdr:spPr>
        <a:xfrm>
          <a:off x="5495925" y="991552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65</xdr:col>
      <xdr:colOff>0</xdr:colOff>
      <xdr:row>51</xdr:row>
      <xdr:rowOff>152400</xdr:rowOff>
    </xdr:from>
    <xdr:to>
      <xdr:col>65</xdr:col>
      <xdr:colOff>0</xdr:colOff>
      <xdr:row>65</xdr:row>
      <xdr:rowOff>123825</xdr:rowOff>
    </xdr:to>
    <xdr:sp>
      <xdr:nvSpPr>
        <xdr:cNvPr id="41368" name="Line 68"/>
        <xdr:cNvSpPr/>
      </xdr:nvSpPr>
      <xdr:spPr>
        <a:xfrm>
          <a:off x="8982075" y="9886950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74</xdr:col>
      <xdr:colOff>76200</xdr:colOff>
      <xdr:row>61</xdr:row>
      <xdr:rowOff>76200</xdr:rowOff>
    </xdr:from>
    <xdr:to>
      <xdr:col>77</xdr:col>
      <xdr:colOff>28575</xdr:colOff>
      <xdr:row>64</xdr:row>
      <xdr:rowOff>28575</xdr:rowOff>
    </xdr:to>
    <xdr:sp>
      <xdr:nvSpPr>
        <xdr:cNvPr id="41369" name="Line 112"/>
        <xdr:cNvSpPr/>
      </xdr:nvSpPr>
      <xdr:spPr>
        <a:xfrm flipH="1">
          <a:off x="10172700" y="11715750"/>
          <a:ext cx="323850" cy="523875"/>
        </a:xfrm>
        <a:prstGeom prst="line">
          <a:avLst/>
        </a:prstGeom>
        <a:ln w="9525" cap="flat" cmpd="sng">
          <a:solidFill>
            <a:srgbClr val="9933FF"/>
          </a:solidFill>
          <a:prstDash val="solid"/>
          <a:round/>
          <a:headEnd type="none" w="med" len="med"/>
          <a:tailEnd type="triangle" w="lg" len="med"/>
        </a:ln>
      </xdr:spPr>
    </xdr:sp>
    <xdr:clientData/>
  </xdr:twoCellAnchor>
  <xdr:twoCellAnchor>
    <xdr:from>
      <xdr:col>48</xdr:col>
      <xdr:colOff>38100</xdr:colOff>
      <xdr:row>66</xdr:row>
      <xdr:rowOff>171450</xdr:rowOff>
    </xdr:from>
    <xdr:to>
      <xdr:col>51</xdr:col>
      <xdr:colOff>0</xdr:colOff>
      <xdr:row>67</xdr:row>
      <xdr:rowOff>133350</xdr:rowOff>
    </xdr:to>
    <xdr:sp>
      <xdr:nvSpPr>
        <xdr:cNvPr id="41370" name="Rectangle 332"/>
        <xdr:cNvSpPr/>
      </xdr:nvSpPr>
      <xdr:spPr>
        <a:xfrm>
          <a:off x="6915150" y="12763500"/>
          <a:ext cx="3333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100000"/>
          </a:srgbClr>
        </a:solidFill>
        <a:ln w="9525">
          <a:noFill/>
        </a:ln>
      </xdr:spPr>
    </xdr:sp>
    <xdr:clientData/>
  </xdr:twoCellAnchor>
  <xdr:twoCellAnchor editAs="oneCell">
    <xdr:from>
      <xdr:col>49</xdr:col>
      <xdr:colOff>19050</xdr:colOff>
      <xdr:row>64</xdr:row>
      <xdr:rowOff>152400</xdr:rowOff>
    </xdr:from>
    <xdr:to>
      <xdr:col>83</xdr:col>
      <xdr:colOff>76200</xdr:colOff>
      <xdr:row>75</xdr:row>
      <xdr:rowOff>76200</xdr:rowOff>
    </xdr:to>
    <xdr:pic>
      <xdr:nvPicPr>
        <xdr:cNvPr id="41371" name="図 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19925" y="12363450"/>
          <a:ext cx="4267200" cy="201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69</xdr:col>
      <xdr:colOff>95250</xdr:colOff>
      <xdr:row>64</xdr:row>
      <xdr:rowOff>76200</xdr:rowOff>
    </xdr:from>
    <xdr:to>
      <xdr:col>82</xdr:col>
      <xdr:colOff>114300</xdr:colOff>
      <xdr:row>65</xdr:row>
      <xdr:rowOff>76200</xdr:rowOff>
    </xdr:to>
    <xdr:sp>
      <xdr:nvSpPr>
        <xdr:cNvPr id="6" name="Text Box 111"/>
        <xdr:cNvSpPr txBox="1">
          <a:spLocks noChangeArrowheads="1"/>
        </xdr:cNvSpPr>
      </xdr:nvSpPr>
      <xdr:spPr>
        <a:xfrm>
          <a:off x="9572625" y="12287250"/>
          <a:ext cx="16287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Default LVDS bit mapping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190500</xdr:colOff>
      <xdr:row>0</xdr:row>
      <xdr:rowOff>123825</xdr:rowOff>
    </xdr:from>
    <xdr:to>
      <xdr:col>20</xdr:col>
      <xdr:colOff>66675</xdr:colOff>
      <xdr:row>1</xdr:row>
      <xdr:rowOff>152400</xdr:rowOff>
    </xdr:to>
    <xdr:sp>
      <xdr:nvSpPr>
        <xdr:cNvPr id="2" name="Text Box 111"/>
        <xdr:cNvSpPr txBox="1">
          <a:spLocks noChangeArrowheads="1"/>
        </xdr:cNvSpPr>
      </xdr:nvSpPr>
      <xdr:spPr>
        <a:xfrm>
          <a:off x="8696325" y="123825"/>
          <a:ext cx="323850" cy="209550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/>
              <a:cs typeface="Arial" panose="020B0604020202020204" pitchFamily="7" charset="0"/>
            </a:rPr>
            <a:t>v04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 pitchFamily="7" charset="0"/>
            <a:ea typeface="MS PGothic"/>
            <a:cs typeface="Arial" panose="020B0604020202020204" pitchFamily="7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409575</xdr:colOff>
          <xdr:row>1</xdr:row>
          <xdr:rowOff>161925</xdr:rowOff>
        </xdr:from>
        <xdr:to>
          <xdr:col>19</xdr:col>
          <xdr:colOff>85725</xdr:colOff>
          <xdr:row>3</xdr:row>
          <xdr:rowOff>19050</xdr:rowOff>
        </xdr:to>
        <xdr:sp macro="[0]!LoadForm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>
            <a:xfrm>
              <a:off x="7124700" y="342900"/>
              <a:ext cx="1466850" cy="21907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b="1">
                  <a:solidFill>
                    <a:srgbClr val="0000FF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Start Conversion</a:t>
              </a:r>
              <a:endParaRPr lang="zh-CN" altLang="en-US" b="1">
                <a:solidFill>
                  <a:srgbClr val="0000FF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314325</xdr:colOff>
      <xdr:row>1</xdr:row>
      <xdr:rowOff>47625</xdr:rowOff>
    </xdr:from>
    <xdr:to>
      <xdr:col>69</xdr:col>
      <xdr:colOff>257175</xdr:colOff>
      <xdr:row>7</xdr:row>
      <xdr:rowOff>152400</xdr:rowOff>
    </xdr:to>
    <xdr:pic>
      <xdr:nvPicPr>
        <xdr:cNvPr id="9519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33575" y="276225"/>
          <a:ext cx="839152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295275</xdr:colOff>
      <xdr:row>17</xdr:row>
      <xdr:rowOff>114300</xdr:rowOff>
    </xdr:from>
    <xdr:to>
      <xdr:col>45</xdr:col>
      <xdr:colOff>66675</xdr:colOff>
      <xdr:row>39</xdr:row>
      <xdr:rowOff>171450</xdr:rowOff>
    </xdr:to>
    <xdr:pic>
      <xdr:nvPicPr>
        <xdr:cNvPr id="9520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4850" y="3667125"/>
          <a:ext cx="6448425" cy="403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11</xdr:row>
      <xdr:rowOff>229235</xdr:rowOff>
    </xdr:from>
    <xdr:to>
      <xdr:col>4</xdr:col>
      <xdr:colOff>0</xdr:colOff>
      <xdr:row>11</xdr:row>
      <xdr:rowOff>229235</xdr:rowOff>
    </xdr:to>
    <xdr:sp>
      <xdr:nvSpPr>
        <xdr:cNvPr id="42604" name="Line 1"/>
        <xdr:cNvSpPr/>
      </xdr:nvSpPr>
      <xdr:spPr>
        <a:xfrm>
          <a:off x="1933575" y="2562860"/>
          <a:ext cx="361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5</xdr:col>
      <xdr:colOff>0</xdr:colOff>
      <xdr:row>9</xdr:row>
      <xdr:rowOff>85725</xdr:rowOff>
    </xdr:from>
    <xdr:to>
      <xdr:col>11</xdr:col>
      <xdr:colOff>114300</xdr:colOff>
      <xdr:row>9</xdr:row>
      <xdr:rowOff>85725</xdr:rowOff>
    </xdr:to>
    <xdr:sp>
      <xdr:nvSpPr>
        <xdr:cNvPr id="42605" name="Line 2"/>
        <xdr:cNvSpPr/>
      </xdr:nvSpPr>
      <xdr:spPr>
        <a:xfrm>
          <a:off x="2419350" y="2057400"/>
          <a:ext cx="857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9</xdr:row>
      <xdr:rowOff>85725</xdr:rowOff>
    </xdr:from>
    <xdr:to>
      <xdr:col>36</xdr:col>
      <xdr:colOff>19050</xdr:colOff>
      <xdr:row>9</xdr:row>
      <xdr:rowOff>85725</xdr:rowOff>
    </xdr:to>
    <xdr:sp>
      <xdr:nvSpPr>
        <xdr:cNvPr id="42606" name="Line 3"/>
        <xdr:cNvSpPr/>
      </xdr:nvSpPr>
      <xdr:spPr>
        <a:xfrm>
          <a:off x="5267325" y="2057400"/>
          <a:ext cx="10096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</xdr:col>
      <xdr:colOff>9525</xdr:colOff>
      <xdr:row>5</xdr:row>
      <xdr:rowOff>161925</xdr:rowOff>
    </xdr:from>
    <xdr:to>
      <xdr:col>39</xdr:col>
      <xdr:colOff>0</xdr:colOff>
      <xdr:row>5</xdr:row>
      <xdr:rowOff>161925</xdr:rowOff>
    </xdr:to>
    <xdr:sp>
      <xdr:nvSpPr>
        <xdr:cNvPr id="42607" name="Line 4"/>
        <xdr:cNvSpPr/>
      </xdr:nvSpPr>
      <xdr:spPr>
        <a:xfrm>
          <a:off x="1933575" y="1114425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16</xdr:col>
      <xdr:colOff>38100</xdr:colOff>
      <xdr:row>4</xdr:row>
      <xdr:rowOff>152400</xdr:rowOff>
    </xdr:from>
    <xdr:to>
      <xdr:col>24</xdr:col>
      <xdr:colOff>85725</xdr:colOff>
      <xdr:row>5</xdr:row>
      <xdr:rowOff>142875</xdr:rowOff>
    </xdr:to>
    <xdr:sp>
      <xdr:nvSpPr>
        <xdr:cNvPr id="2" name="Text Box 5"/>
        <xdr:cNvSpPr txBox="1">
          <a:spLocks noChangeArrowheads="1"/>
        </xdr:cNvSpPr>
      </xdr:nvSpPr>
      <xdr:spPr>
        <a:xfrm>
          <a:off x="3819525" y="923925"/>
          <a:ext cx="10382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352425</xdr:colOff>
      <xdr:row>11</xdr:row>
      <xdr:rowOff>742950</xdr:rowOff>
    </xdr:from>
    <xdr:to>
      <xdr:col>1</xdr:col>
      <xdr:colOff>114300</xdr:colOff>
      <xdr:row>13</xdr:row>
      <xdr:rowOff>142875</xdr:rowOff>
    </xdr:to>
    <xdr:sp>
      <xdr:nvSpPr>
        <xdr:cNvPr id="3" name="Text Box 6"/>
        <xdr:cNvSpPr txBox="1">
          <a:spLocks noChangeArrowheads="1"/>
        </xdr:cNvSpPr>
      </xdr:nvSpPr>
      <xdr:spPr>
        <a:xfrm>
          <a:off x="352425" y="2914650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VSDELAY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</xdr:col>
      <xdr:colOff>9525</xdr:colOff>
      <xdr:row>14</xdr:row>
      <xdr:rowOff>161925</xdr:rowOff>
    </xdr:from>
    <xdr:to>
      <xdr:col>42</xdr:col>
      <xdr:colOff>0</xdr:colOff>
      <xdr:row>14</xdr:row>
      <xdr:rowOff>161925</xdr:rowOff>
    </xdr:to>
    <xdr:sp>
      <xdr:nvSpPr>
        <xdr:cNvPr id="42610" name="Line 7"/>
        <xdr:cNvSpPr/>
      </xdr:nvSpPr>
      <xdr:spPr>
        <a:xfrm>
          <a:off x="2305050" y="3438525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1675765</xdr:colOff>
      <xdr:row>11</xdr:row>
      <xdr:rowOff>313055</xdr:rowOff>
    </xdr:from>
    <xdr:to>
      <xdr:col>2</xdr:col>
      <xdr:colOff>57150</xdr:colOff>
      <xdr:row>12</xdr:row>
      <xdr:rowOff>76200</xdr:rowOff>
    </xdr:to>
    <xdr:sp>
      <xdr:nvSpPr>
        <xdr:cNvPr id="42611" name="Line 9"/>
        <xdr:cNvSpPr/>
      </xdr:nvSpPr>
      <xdr:spPr>
        <a:xfrm flipV="1">
          <a:off x="1675765" y="2646680"/>
          <a:ext cx="429260" cy="34417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76200</xdr:colOff>
      <xdr:row>8</xdr:row>
      <xdr:rowOff>57150</xdr:rowOff>
    </xdr:from>
    <xdr:to>
      <xdr:col>5</xdr:col>
      <xdr:colOff>57150</xdr:colOff>
      <xdr:row>9</xdr:row>
      <xdr:rowOff>104775</xdr:rowOff>
    </xdr:to>
    <xdr:sp>
      <xdr:nvSpPr>
        <xdr:cNvPr id="4" name="Text Box 11"/>
        <xdr:cNvSpPr txBox="1">
          <a:spLocks noChangeArrowheads="1"/>
        </xdr:cNvSpPr>
      </xdr:nvSpPr>
      <xdr:spPr>
        <a:xfrm>
          <a:off x="2124075" y="184785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(A)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11</xdr:col>
      <xdr:colOff>95250</xdr:colOff>
      <xdr:row>10</xdr:row>
      <xdr:rowOff>0</xdr:rowOff>
    </xdr:from>
    <xdr:to>
      <xdr:col>14</xdr:col>
      <xdr:colOff>76200</xdr:colOff>
      <xdr:row>11</xdr:row>
      <xdr:rowOff>47625</xdr:rowOff>
    </xdr:to>
    <xdr:sp>
      <xdr:nvSpPr>
        <xdr:cNvPr id="5" name="Text Box 12"/>
        <xdr:cNvSpPr txBox="1">
          <a:spLocks noChangeArrowheads="1"/>
        </xdr:cNvSpPr>
      </xdr:nvSpPr>
      <xdr:spPr>
        <a:xfrm>
          <a:off x="3257550" y="215265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(B)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66675</xdr:colOff>
      <xdr:row>8</xdr:row>
      <xdr:rowOff>38100</xdr:rowOff>
    </xdr:from>
    <xdr:to>
      <xdr:col>28</xdr:col>
      <xdr:colOff>47625</xdr:colOff>
      <xdr:row>9</xdr:row>
      <xdr:rowOff>85725</xdr:rowOff>
    </xdr:to>
    <xdr:sp>
      <xdr:nvSpPr>
        <xdr:cNvPr id="6" name="Text Box 13"/>
        <xdr:cNvSpPr txBox="1">
          <a:spLocks noChangeArrowheads="1"/>
        </xdr:cNvSpPr>
      </xdr:nvSpPr>
      <xdr:spPr>
        <a:xfrm>
          <a:off x="4962525" y="182880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(C)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35</xdr:col>
      <xdr:colOff>95250</xdr:colOff>
      <xdr:row>9</xdr:row>
      <xdr:rowOff>161925</xdr:rowOff>
    </xdr:from>
    <xdr:to>
      <xdr:col>38</xdr:col>
      <xdr:colOff>76200</xdr:colOff>
      <xdr:row>11</xdr:row>
      <xdr:rowOff>38100</xdr:rowOff>
    </xdr:to>
    <xdr:sp>
      <xdr:nvSpPr>
        <xdr:cNvPr id="7" name="Text Box 14"/>
        <xdr:cNvSpPr txBox="1">
          <a:spLocks noChangeArrowheads="1"/>
        </xdr:cNvSpPr>
      </xdr:nvSpPr>
      <xdr:spPr>
        <a:xfrm>
          <a:off x="6229350" y="2133600"/>
          <a:ext cx="352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(D)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</xdr:col>
      <xdr:colOff>28575</xdr:colOff>
      <xdr:row>8</xdr:row>
      <xdr:rowOff>19050</xdr:rowOff>
    </xdr:from>
    <xdr:to>
      <xdr:col>21</xdr:col>
      <xdr:colOff>104775</xdr:colOff>
      <xdr:row>9</xdr:row>
      <xdr:rowOff>19050</xdr:rowOff>
    </xdr:to>
    <xdr:sp>
      <xdr:nvSpPr>
        <xdr:cNvPr id="8" name="Text Box 15"/>
        <xdr:cNvSpPr txBox="1">
          <a:spLocks noChangeArrowheads="1"/>
        </xdr:cNvSpPr>
      </xdr:nvSpPr>
      <xdr:spPr>
        <a:xfrm>
          <a:off x="2447925" y="1809750"/>
          <a:ext cx="2057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(B) shoud be later than (A)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28</xdr:col>
      <xdr:colOff>85725</xdr:colOff>
      <xdr:row>8</xdr:row>
      <xdr:rowOff>9525</xdr:rowOff>
    </xdr:from>
    <xdr:to>
      <xdr:col>45</xdr:col>
      <xdr:colOff>38100</xdr:colOff>
      <xdr:row>9</xdr:row>
      <xdr:rowOff>57150</xdr:rowOff>
    </xdr:to>
    <xdr:sp>
      <xdr:nvSpPr>
        <xdr:cNvPr id="9" name="Text Box 16"/>
        <xdr:cNvSpPr txBox="1">
          <a:spLocks noChangeArrowheads="1"/>
        </xdr:cNvSpPr>
      </xdr:nvSpPr>
      <xdr:spPr>
        <a:xfrm>
          <a:off x="5353050" y="1800225"/>
          <a:ext cx="2057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(D) shoud be later than (C)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</xdr:col>
      <xdr:colOff>19050</xdr:colOff>
      <xdr:row>18</xdr:row>
      <xdr:rowOff>133350</xdr:rowOff>
    </xdr:from>
    <xdr:to>
      <xdr:col>44</xdr:col>
      <xdr:colOff>57150</xdr:colOff>
      <xdr:row>21</xdr:row>
      <xdr:rowOff>9525</xdr:rowOff>
    </xdr:to>
    <xdr:sp>
      <xdr:nvSpPr>
        <xdr:cNvPr id="10" name="Text Box 17"/>
        <xdr:cNvSpPr txBox="1">
          <a:spLocks noChangeArrowheads="1"/>
        </xdr:cNvSpPr>
      </xdr:nvSpPr>
      <xdr:spPr>
        <a:xfrm>
          <a:off x="1943100" y="4133850"/>
          <a:ext cx="53625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1 line period of DSI Input and TC358774/75XBG Output should be the same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</xdr:col>
      <xdr:colOff>9525</xdr:colOff>
      <xdr:row>33</xdr:row>
      <xdr:rowOff>181610</xdr:rowOff>
    </xdr:from>
    <xdr:to>
      <xdr:col>4</xdr:col>
      <xdr:colOff>0</xdr:colOff>
      <xdr:row>33</xdr:row>
      <xdr:rowOff>181610</xdr:rowOff>
    </xdr:to>
    <xdr:sp>
      <xdr:nvSpPr>
        <xdr:cNvPr id="42619" name="Line 18"/>
        <xdr:cNvSpPr/>
      </xdr:nvSpPr>
      <xdr:spPr>
        <a:xfrm>
          <a:off x="1933575" y="7220585"/>
          <a:ext cx="361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9</xdr:col>
      <xdr:colOff>0</xdr:colOff>
      <xdr:row>31</xdr:row>
      <xdr:rowOff>66675</xdr:rowOff>
    </xdr:from>
    <xdr:to>
      <xdr:col>12</xdr:col>
      <xdr:colOff>0</xdr:colOff>
      <xdr:row>31</xdr:row>
      <xdr:rowOff>66675</xdr:rowOff>
    </xdr:to>
    <xdr:sp>
      <xdr:nvSpPr>
        <xdr:cNvPr id="42620" name="Line 19"/>
        <xdr:cNvSpPr/>
      </xdr:nvSpPr>
      <xdr:spPr>
        <a:xfrm>
          <a:off x="2914650" y="6743700"/>
          <a:ext cx="3714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31</xdr:row>
      <xdr:rowOff>85725</xdr:rowOff>
    </xdr:from>
    <xdr:to>
      <xdr:col>35</xdr:col>
      <xdr:colOff>114300</xdr:colOff>
      <xdr:row>31</xdr:row>
      <xdr:rowOff>85725</xdr:rowOff>
    </xdr:to>
    <xdr:sp>
      <xdr:nvSpPr>
        <xdr:cNvPr id="42621" name="Line 20"/>
        <xdr:cNvSpPr/>
      </xdr:nvSpPr>
      <xdr:spPr>
        <a:xfrm>
          <a:off x="5267325" y="6762750"/>
          <a:ext cx="9810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</xdr:col>
      <xdr:colOff>9525</xdr:colOff>
      <xdr:row>27</xdr:row>
      <xdr:rowOff>161925</xdr:rowOff>
    </xdr:from>
    <xdr:to>
      <xdr:col>39</xdr:col>
      <xdr:colOff>0</xdr:colOff>
      <xdr:row>27</xdr:row>
      <xdr:rowOff>161925</xdr:rowOff>
    </xdr:to>
    <xdr:sp>
      <xdr:nvSpPr>
        <xdr:cNvPr id="42622" name="Line 21"/>
        <xdr:cNvSpPr/>
      </xdr:nvSpPr>
      <xdr:spPr>
        <a:xfrm>
          <a:off x="1933575" y="5829300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16</xdr:col>
      <xdr:colOff>38100</xdr:colOff>
      <xdr:row>26</xdr:row>
      <xdr:rowOff>114300</xdr:rowOff>
    </xdr:from>
    <xdr:to>
      <xdr:col>24</xdr:col>
      <xdr:colOff>85725</xdr:colOff>
      <xdr:row>27</xdr:row>
      <xdr:rowOff>161925</xdr:rowOff>
    </xdr:to>
    <xdr:sp>
      <xdr:nvSpPr>
        <xdr:cNvPr id="11" name="Text Box 22"/>
        <xdr:cNvSpPr txBox="1">
          <a:spLocks noChangeArrowheads="1"/>
        </xdr:cNvSpPr>
      </xdr:nvSpPr>
      <xdr:spPr>
        <a:xfrm>
          <a:off x="3819525" y="5600700"/>
          <a:ext cx="1038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</xdr:col>
      <xdr:colOff>9525</xdr:colOff>
      <xdr:row>36</xdr:row>
      <xdr:rowOff>142875</xdr:rowOff>
    </xdr:from>
    <xdr:to>
      <xdr:col>42</xdr:col>
      <xdr:colOff>0</xdr:colOff>
      <xdr:row>36</xdr:row>
      <xdr:rowOff>142875</xdr:rowOff>
    </xdr:to>
    <xdr:sp>
      <xdr:nvSpPr>
        <xdr:cNvPr id="42624" name="Line 24"/>
        <xdr:cNvSpPr/>
      </xdr:nvSpPr>
      <xdr:spPr>
        <a:xfrm>
          <a:off x="2305050" y="8124825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24</xdr:col>
      <xdr:colOff>47625</xdr:colOff>
      <xdr:row>35</xdr:row>
      <xdr:rowOff>114300</xdr:rowOff>
    </xdr:from>
    <xdr:to>
      <xdr:col>32</xdr:col>
      <xdr:colOff>95250</xdr:colOff>
      <xdr:row>36</xdr:row>
      <xdr:rowOff>161925</xdr:rowOff>
    </xdr:to>
    <xdr:sp>
      <xdr:nvSpPr>
        <xdr:cNvPr id="12" name="Text Box 25"/>
        <xdr:cNvSpPr txBox="1">
          <a:spLocks noChangeArrowheads="1"/>
        </xdr:cNvSpPr>
      </xdr:nvSpPr>
      <xdr:spPr>
        <a:xfrm>
          <a:off x="4819650" y="7915275"/>
          <a:ext cx="1038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6</xdr:col>
      <xdr:colOff>76200</xdr:colOff>
      <xdr:row>30</xdr:row>
      <xdr:rowOff>57150</xdr:rowOff>
    </xdr:from>
    <xdr:to>
      <xdr:col>9</xdr:col>
      <xdr:colOff>57150</xdr:colOff>
      <xdr:row>31</xdr:row>
      <xdr:rowOff>104775</xdr:rowOff>
    </xdr:to>
    <xdr:sp>
      <xdr:nvSpPr>
        <xdr:cNvPr id="13" name="Text Box 28"/>
        <xdr:cNvSpPr txBox="1">
          <a:spLocks noChangeArrowheads="1"/>
        </xdr:cNvSpPr>
      </xdr:nvSpPr>
      <xdr:spPr>
        <a:xfrm>
          <a:off x="2619375" y="655320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(A)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11</xdr:col>
      <xdr:colOff>95250</xdr:colOff>
      <xdr:row>31</xdr:row>
      <xdr:rowOff>152400</xdr:rowOff>
    </xdr:from>
    <xdr:to>
      <xdr:col>14</xdr:col>
      <xdr:colOff>76200</xdr:colOff>
      <xdr:row>33</xdr:row>
      <xdr:rowOff>28575</xdr:rowOff>
    </xdr:to>
    <xdr:sp>
      <xdr:nvSpPr>
        <xdr:cNvPr id="14" name="Text Box 29"/>
        <xdr:cNvSpPr txBox="1">
          <a:spLocks noChangeArrowheads="1"/>
        </xdr:cNvSpPr>
      </xdr:nvSpPr>
      <xdr:spPr>
        <a:xfrm>
          <a:off x="3257550" y="6829425"/>
          <a:ext cx="352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(B)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66675</xdr:colOff>
      <xdr:row>30</xdr:row>
      <xdr:rowOff>38100</xdr:rowOff>
    </xdr:from>
    <xdr:to>
      <xdr:col>28</xdr:col>
      <xdr:colOff>47625</xdr:colOff>
      <xdr:row>31</xdr:row>
      <xdr:rowOff>85725</xdr:rowOff>
    </xdr:to>
    <xdr:sp>
      <xdr:nvSpPr>
        <xdr:cNvPr id="15" name="Text Box 30"/>
        <xdr:cNvSpPr txBox="1">
          <a:spLocks noChangeArrowheads="1"/>
        </xdr:cNvSpPr>
      </xdr:nvSpPr>
      <xdr:spPr>
        <a:xfrm>
          <a:off x="4962525" y="653415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(C)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36</xdr:col>
      <xdr:colOff>9525</xdr:colOff>
      <xdr:row>31</xdr:row>
      <xdr:rowOff>123825</xdr:rowOff>
    </xdr:from>
    <xdr:to>
      <xdr:col>38</xdr:col>
      <xdr:colOff>114300</xdr:colOff>
      <xdr:row>33</xdr:row>
      <xdr:rowOff>0</xdr:rowOff>
    </xdr:to>
    <xdr:sp>
      <xdr:nvSpPr>
        <xdr:cNvPr id="16" name="Text Box 31"/>
        <xdr:cNvSpPr txBox="1">
          <a:spLocks noChangeArrowheads="1"/>
        </xdr:cNvSpPr>
      </xdr:nvSpPr>
      <xdr:spPr>
        <a:xfrm>
          <a:off x="6267450" y="6800850"/>
          <a:ext cx="352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(D)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8</xdr:col>
      <xdr:colOff>66675</xdr:colOff>
      <xdr:row>30</xdr:row>
      <xdr:rowOff>9525</xdr:rowOff>
    </xdr:from>
    <xdr:to>
      <xdr:col>25</xdr:col>
      <xdr:colOff>19050</xdr:colOff>
      <xdr:row>31</xdr:row>
      <xdr:rowOff>57150</xdr:rowOff>
    </xdr:to>
    <xdr:sp>
      <xdr:nvSpPr>
        <xdr:cNvPr id="17" name="Text Box 32"/>
        <xdr:cNvSpPr txBox="1">
          <a:spLocks noChangeArrowheads="1"/>
        </xdr:cNvSpPr>
      </xdr:nvSpPr>
      <xdr:spPr>
        <a:xfrm>
          <a:off x="2857500" y="6505575"/>
          <a:ext cx="2057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(B) shoud be later than (A)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28</xdr:col>
      <xdr:colOff>19050</xdr:colOff>
      <xdr:row>30</xdr:row>
      <xdr:rowOff>28575</xdr:rowOff>
    </xdr:from>
    <xdr:to>
      <xdr:col>44</xdr:col>
      <xdr:colOff>95250</xdr:colOff>
      <xdr:row>31</xdr:row>
      <xdr:rowOff>76200</xdr:rowOff>
    </xdr:to>
    <xdr:sp>
      <xdr:nvSpPr>
        <xdr:cNvPr id="18" name="Text Box 33"/>
        <xdr:cNvSpPr txBox="1">
          <a:spLocks noChangeArrowheads="1"/>
        </xdr:cNvSpPr>
      </xdr:nvSpPr>
      <xdr:spPr>
        <a:xfrm>
          <a:off x="5286375" y="6524625"/>
          <a:ext cx="2057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(D) shoud be later than (C)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</xdr:col>
      <xdr:colOff>19050</xdr:colOff>
      <xdr:row>8</xdr:row>
      <xdr:rowOff>47625</xdr:rowOff>
    </xdr:from>
    <xdr:to>
      <xdr:col>4</xdr:col>
      <xdr:colOff>9525</xdr:colOff>
      <xdr:row>11</xdr:row>
      <xdr:rowOff>0</xdr:rowOff>
    </xdr:to>
    <xdr:sp>
      <xdr:nvSpPr>
        <xdr:cNvPr id="42632" name="Line 35"/>
        <xdr:cNvSpPr/>
      </xdr:nvSpPr>
      <xdr:spPr>
        <a:xfrm>
          <a:off x="1943100" y="1838325"/>
          <a:ext cx="361950" cy="4953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9525</xdr:colOff>
      <xdr:row>12</xdr:row>
      <xdr:rowOff>142875</xdr:rowOff>
    </xdr:from>
    <xdr:to>
      <xdr:col>7</xdr:col>
      <xdr:colOff>114300</xdr:colOff>
      <xdr:row>12</xdr:row>
      <xdr:rowOff>142875</xdr:rowOff>
    </xdr:to>
    <xdr:sp>
      <xdr:nvSpPr>
        <xdr:cNvPr id="42633" name="Line 36"/>
        <xdr:cNvSpPr/>
      </xdr:nvSpPr>
      <xdr:spPr>
        <a:xfrm>
          <a:off x="2305050" y="3057525"/>
          <a:ext cx="476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</xdr:col>
      <xdr:colOff>114300</xdr:colOff>
      <xdr:row>12</xdr:row>
      <xdr:rowOff>142875</xdr:rowOff>
    </xdr:from>
    <xdr:to>
      <xdr:col>11</xdr:col>
      <xdr:colOff>114300</xdr:colOff>
      <xdr:row>12</xdr:row>
      <xdr:rowOff>142875</xdr:rowOff>
    </xdr:to>
    <xdr:sp>
      <xdr:nvSpPr>
        <xdr:cNvPr id="42634" name="Line 37"/>
        <xdr:cNvSpPr/>
      </xdr:nvSpPr>
      <xdr:spPr>
        <a:xfrm>
          <a:off x="2781300" y="3057525"/>
          <a:ext cx="4953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12</xdr:col>
      <xdr:colOff>9525</xdr:colOff>
      <xdr:row>12</xdr:row>
      <xdr:rowOff>142875</xdr:rowOff>
    </xdr:from>
    <xdr:to>
      <xdr:col>36</xdr:col>
      <xdr:colOff>9525</xdr:colOff>
      <xdr:row>12</xdr:row>
      <xdr:rowOff>142875</xdr:rowOff>
    </xdr:to>
    <xdr:sp>
      <xdr:nvSpPr>
        <xdr:cNvPr id="42635" name="Line 38"/>
        <xdr:cNvSpPr/>
      </xdr:nvSpPr>
      <xdr:spPr>
        <a:xfrm>
          <a:off x="3295650" y="3057525"/>
          <a:ext cx="29718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581025</xdr:colOff>
      <xdr:row>15</xdr:row>
      <xdr:rowOff>0</xdr:rowOff>
    </xdr:from>
    <xdr:to>
      <xdr:col>4</xdr:col>
      <xdr:colOff>28575</xdr:colOff>
      <xdr:row>17</xdr:row>
      <xdr:rowOff>38100</xdr:rowOff>
    </xdr:to>
    <xdr:sp>
      <xdr:nvSpPr>
        <xdr:cNvPr id="19" name="Text Box 39"/>
        <xdr:cNvSpPr txBox="1">
          <a:spLocks noChangeArrowheads="1"/>
        </xdr:cNvSpPr>
      </xdr:nvSpPr>
      <xdr:spPr>
        <a:xfrm>
          <a:off x="581025" y="3457575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bv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HPW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1896110</xdr:colOff>
      <xdr:row>13</xdr:row>
      <xdr:rowOff>19050</xdr:rowOff>
    </xdr:from>
    <xdr:to>
      <xdr:col>5</xdr:col>
      <xdr:colOff>76200</xdr:colOff>
      <xdr:row>14</xdr:row>
      <xdr:rowOff>142875</xdr:rowOff>
    </xdr:to>
    <xdr:sp>
      <xdr:nvSpPr>
        <xdr:cNvPr id="42637" name="Line 40"/>
        <xdr:cNvSpPr/>
      </xdr:nvSpPr>
      <xdr:spPr>
        <a:xfrm flipV="1">
          <a:off x="1896110" y="3114675"/>
          <a:ext cx="599440" cy="3048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8</xdr:col>
      <xdr:colOff>95250</xdr:colOff>
      <xdr:row>13</xdr:row>
      <xdr:rowOff>28575</xdr:rowOff>
    </xdr:from>
    <xdr:to>
      <xdr:col>10</xdr:col>
      <xdr:colOff>0</xdr:colOff>
      <xdr:row>16</xdr:row>
      <xdr:rowOff>19050</xdr:rowOff>
    </xdr:to>
    <xdr:sp>
      <xdr:nvSpPr>
        <xdr:cNvPr id="42638" name="Line 41"/>
        <xdr:cNvSpPr/>
      </xdr:nvSpPr>
      <xdr:spPr>
        <a:xfrm flipV="1">
          <a:off x="2886075" y="3124200"/>
          <a:ext cx="152400" cy="533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9525</xdr:colOff>
      <xdr:row>16</xdr:row>
      <xdr:rowOff>38100</xdr:rowOff>
    </xdr:from>
    <xdr:to>
      <xdr:col>16</xdr:col>
      <xdr:colOff>19050</xdr:colOff>
      <xdr:row>18</xdr:row>
      <xdr:rowOff>76200</xdr:rowOff>
    </xdr:to>
    <xdr:sp>
      <xdr:nvSpPr>
        <xdr:cNvPr id="20" name="Text Box 42"/>
        <xdr:cNvSpPr txBox="1">
          <a:spLocks noChangeArrowheads="1"/>
        </xdr:cNvSpPr>
      </xdr:nvSpPr>
      <xdr:spPr>
        <a:xfrm>
          <a:off x="2057400" y="3676650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bv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HBPR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20</xdr:col>
      <xdr:colOff>38100</xdr:colOff>
      <xdr:row>13</xdr:row>
      <xdr:rowOff>8890</xdr:rowOff>
    </xdr:from>
    <xdr:to>
      <xdr:col>21</xdr:col>
      <xdr:colOff>66675</xdr:colOff>
      <xdr:row>16</xdr:row>
      <xdr:rowOff>0</xdr:rowOff>
    </xdr:to>
    <xdr:sp>
      <xdr:nvSpPr>
        <xdr:cNvPr id="42640" name="Line 43"/>
        <xdr:cNvSpPr/>
      </xdr:nvSpPr>
      <xdr:spPr>
        <a:xfrm flipV="1">
          <a:off x="4314825" y="3104515"/>
          <a:ext cx="152400" cy="53403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16</xdr:col>
      <xdr:colOff>0</xdr:colOff>
      <xdr:row>16</xdr:row>
      <xdr:rowOff>38100</xdr:rowOff>
    </xdr:from>
    <xdr:to>
      <xdr:col>30</xdr:col>
      <xdr:colOff>9525</xdr:colOff>
      <xdr:row>18</xdr:row>
      <xdr:rowOff>76200</xdr:rowOff>
    </xdr:to>
    <xdr:sp>
      <xdr:nvSpPr>
        <xdr:cNvPr id="21" name="Text Box 44"/>
        <xdr:cNvSpPr txBox="1">
          <a:spLocks noChangeArrowheads="1"/>
        </xdr:cNvSpPr>
      </xdr:nvSpPr>
      <xdr:spPr>
        <a:xfrm>
          <a:off x="3781425" y="3676650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Pixel data is clocked out by PCLK at LVDS side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39</xdr:col>
      <xdr:colOff>9525</xdr:colOff>
      <xdr:row>8</xdr:row>
      <xdr:rowOff>28575</xdr:rowOff>
    </xdr:from>
    <xdr:to>
      <xdr:col>42</xdr:col>
      <xdr:colOff>0</xdr:colOff>
      <xdr:row>10</xdr:row>
      <xdr:rowOff>161925</xdr:rowOff>
    </xdr:to>
    <xdr:sp>
      <xdr:nvSpPr>
        <xdr:cNvPr id="42642" name="Line 45"/>
        <xdr:cNvSpPr/>
      </xdr:nvSpPr>
      <xdr:spPr>
        <a:xfrm>
          <a:off x="6638925" y="1819275"/>
          <a:ext cx="361950" cy="4953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1666875</xdr:colOff>
      <xdr:row>9</xdr:row>
      <xdr:rowOff>114300</xdr:rowOff>
    </xdr:from>
    <xdr:to>
      <xdr:col>2</xdr:col>
      <xdr:colOff>95250</xdr:colOff>
      <xdr:row>10</xdr:row>
      <xdr:rowOff>114300</xdr:rowOff>
    </xdr:to>
    <xdr:sp>
      <xdr:nvSpPr>
        <xdr:cNvPr id="42643" name="Line 46"/>
        <xdr:cNvSpPr/>
      </xdr:nvSpPr>
      <xdr:spPr>
        <a:xfrm flipV="1">
          <a:off x="1666875" y="2085975"/>
          <a:ext cx="476250" cy="1809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209550</xdr:colOff>
      <xdr:row>8</xdr:row>
      <xdr:rowOff>123825</xdr:rowOff>
    </xdr:from>
    <xdr:to>
      <xdr:col>0</xdr:col>
      <xdr:colOff>1895475</xdr:colOff>
      <xdr:row>11</xdr:row>
      <xdr:rowOff>85725</xdr:rowOff>
    </xdr:to>
    <xdr:sp>
      <xdr:nvSpPr>
        <xdr:cNvPr id="22" name="Text Box 47"/>
        <xdr:cNvSpPr txBox="1">
          <a:spLocks noChangeArrowheads="1"/>
        </xdr:cNvSpPr>
      </xdr:nvSpPr>
      <xdr:spPr>
        <a:xfrm>
          <a:off x="209550" y="1914525"/>
          <a:ext cx="1685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LVDS output is synchronized to HSS with delay decided by "VSDELAY" 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45</xdr:col>
      <xdr:colOff>66675</xdr:colOff>
      <xdr:row>7</xdr:row>
      <xdr:rowOff>542925</xdr:rowOff>
    </xdr:from>
    <xdr:to>
      <xdr:col>58</xdr:col>
      <xdr:colOff>114300</xdr:colOff>
      <xdr:row>10</xdr:row>
      <xdr:rowOff>38100</xdr:rowOff>
    </xdr:to>
    <xdr:sp>
      <xdr:nvSpPr>
        <xdr:cNvPr id="23" name="Text Box 48"/>
        <xdr:cNvSpPr txBox="1">
          <a:spLocks noChangeArrowheads="1"/>
        </xdr:cNvSpPr>
      </xdr:nvSpPr>
      <xdr:spPr>
        <a:xfrm>
          <a:off x="7439025" y="1790700"/>
          <a:ext cx="16573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At every line, LVDS output is synchronized to HSS packet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41</xdr:col>
      <xdr:colOff>28575</xdr:colOff>
      <xdr:row>9</xdr:row>
      <xdr:rowOff>38100</xdr:rowOff>
    </xdr:from>
    <xdr:to>
      <xdr:col>45</xdr:col>
      <xdr:colOff>19050</xdr:colOff>
      <xdr:row>9</xdr:row>
      <xdr:rowOff>172085</xdr:rowOff>
    </xdr:to>
    <xdr:sp>
      <xdr:nvSpPr>
        <xdr:cNvPr id="42646" name="Line 49"/>
        <xdr:cNvSpPr/>
      </xdr:nvSpPr>
      <xdr:spPr>
        <a:xfrm flipH="1">
          <a:off x="6905625" y="2009775"/>
          <a:ext cx="485775" cy="13398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</xdr:col>
      <xdr:colOff>114300</xdr:colOff>
      <xdr:row>30</xdr:row>
      <xdr:rowOff>38100</xdr:rowOff>
    </xdr:from>
    <xdr:to>
      <xdr:col>4</xdr:col>
      <xdr:colOff>9525</xdr:colOff>
      <xdr:row>33</xdr:row>
      <xdr:rowOff>0</xdr:rowOff>
    </xdr:to>
    <xdr:sp>
      <xdr:nvSpPr>
        <xdr:cNvPr id="42647" name="Line 50"/>
        <xdr:cNvSpPr/>
      </xdr:nvSpPr>
      <xdr:spPr>
        <a:xfrm>
          <a:off x="2038350" y="6534150"/>
          <a:ext cx="266700" cy="5048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114300</xdr:colOff>
      <xdr:row>30</xdr:row>
      <xdr:rowOff>38100</xdr:rowOff>
    </xdr:from>
    <xdr:to>
      <xdr:col>7</xdr:col>
      <xdr:colOff>19050</xdr:colOff>
      <xdr:row>32</xdr:row>
      <xdr:rowOff>152400</xdr:rowOff>
    </xdr:to>
    <xdr:sp>
      <xdr:nvSpPr>
        <xdr:cNvPr id="42648" name="Line 51"/>
        <xdr:cNvSpPr/>
      </xdr:nvSpPr>
      <xdr:spPr>
        <a:xfrm>
          <a:off x="2409825" y="6534150"/>
          <a:ext cx="276225" cy="4762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9</xdr:col>
      <xdr:colOff>19050</xdr:colOff>
      <xdr:row>30</xdr:row>
      <xdr:rowOff>38100</xdr:rowOff>
    </xdr:from>
    <xdr:to>
      <xdr:col>11</xdr:col>
      <xdr:colOff>76200</xdr:colOff>
      <xdr:row>32</xdr:row>
      <xdr:rowOff>152400</xdr:rowOff>
    </xdr:to>
    <xdr:sp>
      <xdr:nvSpPr>
        <xdr:cNvPr id="42649" name="Line 52"/>
        <xdr:cNvSpPr/>
      </xdr:nvSpPr>
      <xdr:spPr>
        <a:xfrm>
          <a:off x="2933700" y="6534150"/>
          <a:ext cx="304800" cy="4762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34</xdr:row>
      <xdr:rowOff>161925</xdr:rowOff>
    </xdr:from>
    <xdr:to>
      <xdr:col>7</xdr:col>
      <xdr:colOff>9525</xdr:colOff>
      <xdr:row>34</xdr:row>
      <xdr:rowOff>161925</xdr:rowOff>
    </xdr:to>
    <xdr:sp>
      <xdr:nvSpPr>
        <xdr:cNvPr id="42650" name="Line 53"/>
        <xdr:cNvSpPr/>
      </xdr:nvSpPr>
      <xdr:spPr>
        <a:xfrm>
          <a:off x="2295525" y="7781925"/>
          <a:ext cx="3810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</xdr:col>
      <xdr:colOff>95250</xdr:colOff>
      <xdr:row>34</xdr:row>
      <xdr:rowOff>161925</xdr:rowOff>
    </xdr:from>
    <xdr:to>
      <xdr:col>11</xdr:col>
      <xdr:colOff>114300</xdr:colOff>
      <xdr:row>34</xdr:row>
      <xdr:rowOff>161925</xdr:rowOff>
    </xdr:to>
    <xdr:sp>
      <xdr:nvSpPr>
        <xdr:cNvPr id="42651" name="Line 54"/>
        <xdr:cNvSpPr/>
      </xdr:nvSpPr>
      <xdr:spPr>
        <a:xfrm>
          <a:off x="2638425" y="7781925"/>
          <a:ext cx="6381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21</xdr:col>
      <xdr:colOff>66675</xdr:colOff>
      <xdr:row>13</xdr:row>
      <xdr:rowOff>133350</xdr:rowOff>
    </xdr:from>
    <xdr:to>
      <xdr:col>29</xdr:col>
      <xdr:colOff>114300</xdr:colOff>
      <xdr:row>15</xdr:row>
      <xdr:rowOff>0</xdr:rowOff>
    </xdr:to>
    <xdr:sp>
      <xdr:nvSpPr>
        <xdr:cNvPr id="24" name="Text Box 55"/>
        <xdr:cNvSpPr txBox="1">
          <a:spLocks noChangeArrowheads="1"/>
        </xdr:cNvSpPr>
      </xdr:nvSpPr>
      <xdr:spPr>
        <a:xfrm>
          <a:off x="4467225" y="3228975"/>
          <a:ext cx="1038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11</xdr:col>
      <xdr:colOff>104775</xdr:colOff>
      <xdr:row>34</xdr:row>
      <xdr:rowOff>161925</xdr:rowOff>
    </xdr:from>
    <xdr:to>
      <xdr:col>35</xdr:col>
      <xdr:colOff>114300</xdr:colOff>
      <xdr:row>34</xdr:row>
      <xdr:rowOff>161925</xdr:rowOff>
    </xdr:to>
    <xdr:sp>
      <xdr:nvSpPr>
        <xdr:cNvPr id="42653" name="Line 56"/>
        <xdr:cNvSpPr/>
      </xdr:nvSpPr>
      <xdr:spPr>
        <a:xfrm>
          <a:off x="3267075" y="7781925"/>
          <a:ext cx="29813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1877060</xdr:colOff>
      <xdr:row>35</xdr:row>
      <xdr:rowOff>66675</xdr:rowOff>
    </xdr:from>
    <xdr:to>
      <xdr:col>5</xdr:col>
      <xdr:colOff>57150</xdr:colOff>
      <xdr:row>37</xdr:row>
      <xdr:rowOff>8890</xdr:rowOff>
    </xdr:to>
    <xdr:sp>
      <xdr:nvSpPr>
        <xdr:cNvPr id="42654" name="Line 57"/>
        <xdr:cNvSpPr/>
      </xdr:nvSpPr>
      <xdr:spPr>
        <a:xfrm flipV="1">
          <a:off x="1877060" y="7867650"/>
          <a:ext cx="599440" cy="30416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7</xdr:col>
      <xdr:colOff>114300</xdr:colOff>
      <xdr:row>35</xdr:row>
      <xdr:rowOff>47625</xdr:rowOff>
    </xdr:from>
    <xdr:to>
      <xdr:col>9</xdr:col>
      <xdr:colOff>19050</xdr:colOff>
      <xdr:row>38</xdr:row>
      <xdr:rowOff>38100</xdr:rowOff>
    </xdr:to>
    <xdr:sp>
      <xdr:nvSpPr>
        <xdr:cNvPr id="42655" name="Line 58"/>
        <xdr:cNvSpPr/>
      </xdr:nvSpPr>
      <xdr:spPr>
        <a:xfrm flipV="1">
          <a:off x="2781300" y="7848600"/>
          <a:ext cx="152400" cy="533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20</xdr:col>
      <xdr:colOff>66675</xdr:colOff>
      <xdr:row>35</xdr:row>
      <xdr:rowOff>38100</xdr:rowOff>
    </xdr:from>
    <xdr:to>
      <xdr:col>21</xdr:col>
      <xdr:colOff>95250</xdr:colOff>
      <xdr:row>38</xdr:row>
      <xdr:rowOff>28575</xdr:rowOff>
    </xdr:to>
    <xdr:sp>
      <xdr:nvSpPr>
        <xdr:cNvPr id="42656" name="Line 59"/>
        <xdr:cNvSpPr/>
      </xdr:nvSpPr>
      <xdr:spPr>
        <a:xfrm flipV="1">
          <a:off x="4343400" y="7839075"/>
          <a:ext cx="152400" cy="533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762000</xdr:colOff>
      <xdr:row>37</xdr:row>
      <xdr:rowOff>57150</xdr:rowOff>
    </xdr:from>
    <xdr:to>
      <xdr:col>2</xdr:col>
      <xdr:colOff>19050</xdr:colOff>
      <xdr:row>39</xdr:row>
      <xdr:rowOff>9525</xdr:rowOff>
    </xdr:to>
    <xdr:sp>
      <xdr:nvSpPr>
        <xdr:cNvPr id="25" name="Text Box 60"/>
        <xdr:cNvSpPr txBox="1">
          <a:spLocks noChangeArrowheads="1"/>
        </xdr:cNvSpPr>
      </xdr:nvSpPr>
      <xdr:spPr>
        <a:xfrm>
          <a:off x="762000" y="8220075"/>
          <a:ext cx="13049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 host timig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Follows Host timing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14</xdr:col>
      <xdr:colOff>19050</xdr:colOff>
      <xdr:row>38</xdr:row>
      <xdr:rowOff>57150</xdr:rowOff>
    </xdr:from>
    <xdr:to>
      <xdr:col>28</xdr:col>
      <xdr:colOff>28575</xdr:colOff>
      <xdr:row>40</xdr:row>
      <xdr:rowOff>95250</xdr:rowOff>
    </xdr:to>
    <xdr:sp>
      <xdr:nvSpPr>
        <xdr:cNvPr id="26" name="Text Box 62"/>
        <xdr:cNvSpPr txBox="1">
          <a:spLocks noChangeArrowheads="1"/>
        </xdr:cNvSpPr>
      </xdr:nvSpPr>
      <xdr:spPr>
        <a:xfrm>
          <a:off x="3552825" y="8401050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Pixel data is clocked out by PCLK at LVDS side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1828800</xdr:colOff>
      <xdr:row>40</xdr:row>
      <xdr:rowOff>104775</xdr:rowOff>
    </xdr:from>
    <xdr:to>
      <xdr:col>43</xdr:col>
      <xdr:colOff>66675</xdr:colOff>
      <xdr:row>41</xdr:row>
      <xdr:rowOff>161925</xdr:rowOff>
    </xdr:to>
    <xdr:sp>
      <xdr:nvSpPr>
        <xdr:cNvPr id="27" name="Text Box 63"/>
        <xdr:cNvSpPr txBox="1">
          <a:spLocks noChangeArrowheads="1"/>
        </xdr:cNvSpPr>
      </xdr:nvSpPr>
      <xdr:spPr>
        <a:xfrm>
          <a:off x="1828800" y="8810625"/>
          <a:ext cx="53625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1 line period of DSI Input and TC358774/75XBG Output should be the same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40</xdr:col>
      <xdr:colOff>9525</xdr:colOff>
      <xdr:row>30</xdr:row>
      <xdr:rowOff>28575</xdr:rowOff>
    </xdr:from>
    <xdr:to>
      <xdr:col>42</xdr:col>
      <xdr:colOff>28575</xdr:colOff>
      <xdr:row>32</xdr:row>
      <xdr:rowOff>172085</xdr:rowOff>
    </xdr:to>
    <xdr:sp>
      <xdr:nvSpPr>
        <xdr:cNvPr id="42660" name="Line 64"/>
        <xdr:cNvSpPr/>
      </xdr:nvSpPr>
      <xdr:spPr>
        <a:xfrm>
          <a:off x="6762750" y="6524625"/>
          <a:ext cx="266700" cy="50546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19050</xdr:colOff>
      <xdr:row>30</xdr:row>
      <xdr:rowOff>28575</xdr:rowOff>
    </xdr:from>
    <xdr:to>
      <xdr:col>45</xdr:col>
      <xdr:colOff>38100</xdr:colOff>
      <xdr:row>32</xdr:row>
      <xdr:rowOff>172085</xdr:rowOff>
    </xdr:to>
    <xdr:sp>
      <xdr:nvSpPr>
        <xdr:cNvPr id="42661" name="Line 65"/>
        <xdr:cNvSpPr/>
      </xdr:nvSpPr>
      <xdr:spPr>
        <a:xfrm>
          <a:off x="7143750" y="6524625"/>
          <a:ext cx="266700" cy="50546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1610360</xdr:colOff>
      <xdr:row>33</xdr:row>
      <xdr:rowOff>247650</xdr:rowOff>
    </xdr:from>
    <xdr:to>
      <xdr:col>2</xdr:col>
      <xdr:colOff>66675</xdr:colOff>
      <xdr:row>34</xdr:row>
      <xdr:rowOff>47625</xdr:rowOff>
    </xdr:to>
    <xdr:sp>
      <xdr:nvSpPr>
        <xdr:cNvPr id="42662" name="Line 66"/>
        <xdr:cNvSpPr/>
      </xdr:nvSpPr>
      <xdr:spPr>
        <a:xfrm flipV="1">
          <a:off x="1610360" y="7286625"/>
          <a:ext cx="504190" cy="3810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419100</xdr:colOff>
      <xdr:row>34</xdr:row>
      <xdr:rowOff>114300</xdr:rowOff>
    </xdr:from>
    <xdr:to>
      <xdr:col>2</xdr:col>
      <xdr:colOff>57150</xdr:colOff>
      <xdr:row>36</xdr:row>
      <xdr:rowOff>76200</xdr:rowOff>
    </xdr:to>
    <xdr:sp>
      <xdr:nvSpPr>
        <xdr:cNvPr id="28" name="Text Box 67"/>
        <xdr:cNvSpPr txBox="1">
          <a:spLocks noChangeArrowheads="1"/>
        </xdr:cNvSpPr>
      </xdr:nvSpPr>
      <xdr:spPr>
        <a:xfrm>
          <a:off x="419100" y="7734300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VSDELAY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66675</xdr:colOff>
      <xdr:row>30</xdr:row>
      <xdr:rowOff>0</xdr:rowOff>
    </xdr:from>
    <xdr:to>
      <xdr:col>0</xdr:col>
      <xdr:colOff>1752600</xdr:colOff>
      <xdr:row>32</xdr:row>
      <xdr:rowOff>142875</xdr:rowOff>
    </xdr:to>
    <xdr:sp>
      <xdr:nvSpPr>
        <xdr:cNvPr id="29" name="Text Box 68"/>
        <xdr:cNvSpPr txBox="1">
          <a:spLocks noChangeArrowheads="1"/>
        </xdr:cNvSpPr>
      </xdr:nvSpPr>
      <xdr:spPr>
        <a:xfrm>
          <a:off x="66675" y="6496050"/>
          <a:ext cx="1685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LVDS output is synchronized to HSS with delay decided by "VSDELAY" 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1591310</xdr:colOff>
      <xdr:row>31</xdr:row>
      <xdr:rowOff>38100</xdr:rowOff>
    </xdr:from>
    <xdr:to>
      <xdr:col>2</xdr:col>
      <xdr:colOff>19050</xdr:colOff>
      <xdr:row>32</xdr:row>
      <xdr:rowOff>38100</xdr:rowOff>
    </xdr:to>
    <xdr:sp>
      <xdr:nvSpPr>
        <xdr:cNvPr id="42665" name="Line 69"/>
        <xdr:cNvSpPr/>
      </xdr:nvSpPr>
      <xdr:spPr>
        <a:xfrm flipV="1">
          <a:off x="1591310" y="6715125"/>
          <a:ext cx="475615" cy="1809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114300</xdr:colOff>
      <xdr:row>38</xdr:row>
      <xdr:rowOff>66675</xdr:rowOff>
    </xdr:from>
    <xdr:to>
      <xdr:col>13</xdr:col>
      <xdr:colOff>57150</xdr:colOff>
      <xdr:row>40</xdr:row>
      <xdr:rowOff>19050</xdr:rowOff>
    </xdr:to>
    <xdr:sp>
      <xdr:nvSpPr>
        <xdr:cNvPr id="30" name="Text Box 70"/>
        <xdr:cNvSpPr txBox="1">
          <a:spLocks noChangeArrowheads="1"/>
        </xdr:cNvSpPr>
      </xdr:nvSpPr>
      <xdr:spPr>
        <a:xfrm>
          <a:off x="2162175" y="8410575"/>
          <a:ext cx="13049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 host timig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Follows Host timing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0</xdr:colOff>
      <xdr:row>8</xdr:row>
      <xdr:rowOff>76200</xdr:rowOff>
    </xdr:from>
    <xdr:to>
      <xdr:col>33</xdr:col>
      <xdr:colOff>0</xdr:colOff>
      <xdr:row>8</xdr:row>
      <xdr:rowOff>76200</xdr:rowOff>
    </xdr:to>
    <xdr:sp>
      <xdr:nvSpPr>
        <xdr:cNvPr id="43535" name="Line 2"/>
        <xdr:cNvSpPr/>
      </xdr:nvSpPr>
      <xdr:spPr>
        <a:xfrm>
          <a:off x="5219700" y="183832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33</xdr:col>
      <xdr:colOff>9525</xdr:colOff>
      <xdr:row>8</xdr:row>
      <xdr:rowOff>76200</xdr:rowOff>
    </xdr:from>
    <xdr:to>
      <xdr:col>41</xdr:col>
      <xdr:colOff>9525</xdr:colOff>
      <xdr:row>8</xdr:row>
      <xdr:rowOff>76200</xdr:rowOff>
    </xdr:to>
    <xdr:sp>
      <xdr:nvSpPr>
        <xdr:cNvPr id="43536" name="Line 4"/>
        <xdr:cNvSpPr/>
      </xdr:nvSpPr>
      <xdr:spPr>
        <a:xfrm>
          <a:off x="5876925" y="1838325"/>
          <a:ext cx="12954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34</xdr:col>
      <xdr:colOff>0</xdr:colOff>
      <xdr:row>6</xdr:row>
      <xdr:rowOff>85725</xdr:rowOff>
    </xdr:from>
    <xdr:to>
      <xdr:col>40</xdr:col>
      <xdr:colOff>9525</xdr:colOff>
      <xdr:row>8</xdr:row>
      <xdr:rowOff>76200</xdr:rowOff>
    </xdr:to>
    <xdr:sp>
      <xdr:nvSpPr>
        <xdr:cNvPr id="2" name="Text Box 5"/>
        <xdr:cNvSpPr txBox="1">
          <a:spLocks noChangeArrowheads="1"/>
        </xdr:cNvSpPr>
      </xdr:nvSpPr>
      <xdr:spPr>
        <a:xfrm>
          <a:off x="6029325" y="1390650"/>
          <a:ext cx="9810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HPW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123825</xdr:colOff>
      <xdr:row>6</xdr:row>
      <xdr:rowOff>76200</xdr:rowOff>
    </xdr:from>
    <xdr:to>
      <xdr:col>32</xdr:col>
      <xdr:colOff>47625</xdr:colOff>
      <xdr:row>8</xdr:row>
      <xdr:rowOff>66675</xdr:rowOff>
    </xdr:to>
    <xdr:sp>
      <xdr:nvSpPr>
        <xdr:cNvPr id="3" name="Text Box 6"/>
        <xdr:cNvSpPr txBox="1">
          <a:spLocks noChangeArrowheads="1"/>
        </xdr:cNvSpPr>
      </xdr:nvSpPr>
      <xdr:spPr>
        <a:xfrm>
          <a:off x="5343525" y="138112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41</xdr:col>
      <xdr:colOff>133350</xdr:colOff>
      <xdr:row>6</xdr:row>
      <xdr:rowOff>76200</xdr:rowOff>
    </xdr:from>
    <xdr:to>
      <xdr:col>44</xdr:col>
      <xdr:colOff>57150</xdr:colOff>
      <xdr:row>8</xdr:row>
      <xdr:rowOff>66675</xdr:rowOff>
    </xdr:to>
    <xdr:sp>
      <xdr:nvSpPr>
        <xdr:cNvPr id="4" name="Text Box 7"/>
        <xdr:cNvSpPr txBox="1">
          <a:spLocks noChangeArrowheads="1"/>
        </xdr:cNvSpPr>
      </xdr:nvSpPr>
      <xdr:spPr>
        <a:xfrm>
          <a:off x="7296150" y="138112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41</xdr:col>
      <xdr:colOff>9525</xdr:colOff>
      <xdr:row>8</xdr:row>
      <xdr:rowOff>76200</xdr:rowOff>
    </xdr:from>
    <xdr:to>
      <xdr:col>45</xdr:col>
      <xdr:colOff>9525</xdr:colOff>
      <xdr:row>8</xdr:row>
      <xdr:rowOff>76200</xdr:rowOff>
    </xdr:to>
    <xdr:sp>
      <xdr:nvSpPr>
        <xdr:cNvPr id="43540" name="Line 8"/>
        <xdr:cNvSpPr/>
      </xdr:nvSpPr>
      <xdr:spPr>
        <a:xfrm>
          <a:off x="7172325" y="1838325"/>
          <a:ext cx="6381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45</xdr:col>
      <xdr:colOff>19050</xdr:colOff>
      <xdr:row>8</xdr:row>
      <xdr:rowOff>76200</xdr:rowOff>
    </xdr:from>
    <xdr:to>
      <xdr:col>56</xdr:col>
      <xdr:colOff>152400</xdr:colOff>
      <xdr:row>8</xdr:row>
      <xdr:rowOff>76200</xdr:rowOff>
    </xdr:to>
    <xdr:sp>
      <xdr:nvSpPr>
        <xdr:cNvPr id="43541" name="Line 9"/>
        <xdr:cNvSpPr/>
      </xdr:nvSpPr>
      <xdr:spPr>
        <a:xfrm>
          <a:off x="7820025" y="1838325"/>
          <a:ext cx="19145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48</xdr:col>
      <xdr:colOff>28575</xdr:colOff>
      <xdr:row>6</xdr:row>
      <xdr:rowOff>85725</xdr:rowOff>
    </xdr:from>
    <xdr:to>
      <xdr:col>54</xdr:col>
      <xdr:colOff>104775</xdr:colOff>
      <xdr:row>8</xdr:row>
      <xdr:rowOff>76200</xdr:rowOff>
    </xdr:to>
    <xdr:sp>
      <xdr:nvSpPr>
        <xdr:cNvPr id="5" name="Text Box 10"/>
        <xdr:cNvSpPr txBox="1">
          <a:spLocks noChangeArrowheads="1"/>
        </xdr:cNvSpPr>
      </xdr:nvSpPr>
      <xdr:spPr>
        <a:xfrm>
          <a:off x="8315325" y="1390650"/>
          <a:ext cx="1047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HBP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9525</xdr:colOff>
      <xdr:row>8</xdr:row>
      <xdr:rowOff>76200</xdr:rowOff>
    </xdr:from>
    <xdr:to>
      <xdr:col>70</xdr:col>
      <xdr:colOff>152400</xdr:colOff>
      <xdr:row>8</xdr:row>
      <xdr:rowOff>76200</xdr:rowOff>
    </xdr:to>
    <xdr:sp>
      <xdr:nvSpPr>
        <xdr:cNvPr id="43543" name="Line 11"/>
        <xdr:cNvSpPr/>
      </xdr:nvSpPr>
      <xdr:spPr>
        <a:xfrm>
          <a:off x="9753600" y="1838325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61</xdr:col>
      <xdr:colOff>9525</xdr:colOff>
      <xdr:row>7</xdr:row>
      <xdr:rowOff>47625</xdr:rowOff>
    </xdr:from>
    <xdr:to>
      <xdr:col>68</xdr:col>
      <xdr:colOff>9525</xdr:colOff>
      <xdr:row>8</xdr:row>
      <xdr:rowOff>47625</xdr:rowOff>
    </xdr:to>
    <xdr:sp>
      <xdr:nvSpPr>
        <xdr:cNvPr id="6" name="Text Box 12"/>
        <xdr:cNvSpPr txBox="1">
          <a:spLocks noChangeArrowheads="1"/>
        </xdr:cNvSpPr>
      </xdr:nvSpPr>
      <xdr:spPr>
        <a:xfrm>
          <a:off x="10401300" y="1581150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71</xdr:col>
      <xdr:colOff>19050</xdr:colOff>
      <xdr:row>8</xdr:row>
      <xdr:rowOff>76200</xdr:rowOff>
    </xdr:from>
    <xdr:to>
      <xdr:col>85</xdr:col>
      <xdr:colOff>0</xdr:colOff>
      <xdr:row>8</xdr:row>
      <xdr:rowOff>76200</xdr:rowOff>
    </xdr:to>
    <xdr:sp>
      <xdr:nvSpPr>
        <xdr:cNvPr id="43545" name="Line 13"/>
        <xdr:cNvSpPr/>
      </xdr:nvSpPr>
      <xdr:spPr>
        <a:xfrm>
          <a:off x="12030075" y="1838325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76</xdr:col>
      <xdr:colOff>0</xdr:colOff>
      <xdr:row>6</xdr:row>
      <xdr:rowOff>85725</xdr:rowOff>
    </xdr:from>
    <xdr:to>
      <xdr:col>81</xdr:col>
      <xdr:colOff>142875</xdr:colOff>
      <xdr:row>8</xdr:row>
      <xdr:rowOff>76200</xdr:rowOff>
    </xdr:to>
    <xdr:sp>
      <xdr:nvSpPr>
        <xdr:cNvPr id="7" name="Text Box 14"/>
        <xdr:cNvSpPr txBox="1">
          <a:spLocks noChangeArrowheads="1"/>
        </xdr:cNvSpPr>
      </xdr:nvSpPr>
      <xdr:spPr>
        <a:xfrm>
          <a:off x="12820650" y="1390650"/>
          <a:ext cx="952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85</xdr:col>
      <xdr:colOff>0</xdr:colOff>
      <xdr:row>8</xdr:row>
      <xdr:rowOff>76200</xdr:rowOff>
    </xdr:from>
    <xdr:to>
      <xdr:col>89</xdr:col>
      <xdr:colOff>0</xdr:colOff>
      <xdr:row>8</xdr:row>
      <xdr:rowOff>76200</xdr:rowOff>
    </xdr:to>
    <xdr:sp>
      <xdr:nvSpPr>
        <xdr:cNvPr id="43547" name="Line 15"/>
        <xdr:cNvSpPr/>
      </xdr:nvSpPr>
      <xdr:spPr>
        <a:xfrm>
          <a:off x="14277975" y="183832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85</xdr:col>
      <xdr:colOff>114300</xdr:colOff>
      <xdr:row>6</xdr:row>
      <xdr:rowOff>95250</xdr:rowOff>
    </xdr:from>
    <xdr:to>
      <xdr:col>88</xdr:col>
      <xdr:colOff>38100</xdr:colOff>
      <xdr:row>8</xdr:row>
      <xdr:rowOff>85725</xdr:rowOff>
    </xdr:to>
    <xdr:sp>
      <xdr:nvSpPr>
        <xdr:cNvPr id="8" name="Text Box 16"/>
        <xdr:cNvSpPr txBox="1">
          <a:spLocks noChangeArrowheads="1"/>
        </xdr:cNvSpPr>
      </xdr:nvSpPr>
      <xdr:spPr>
        <a:xfrm>
          <a:off x="14392275" y="140017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15</xdr:col>
      <xdr:colOff>9525</xdr:colOff>
      <xdr:row>8</xdr:row>
      <xdr:rowOff>76200</xdr:rowOff>
    </xdr:from>
    <xdr:to>
      <xdr:col>28</xdr:col>
      <xdr:colOff>152400</xdr:colOff>
      <xdr:row>8</xdr:row>
      <xdr:rowOff>76200</xdr:rowOff>
    </xdr:to>
    <xdr:sp>
      <xdr:nvSpPr>
        <xdr:cNvPr id="43549" name="Line 17"/>
        <xdr:cNvSpPr/>
      </xdr:nvSpPr>
      <xdr:spPr>
        <a:xfrm>
          <a:off x="2962275" y="1838325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19</xdr:col>
      <xdr:colOff>104775</xdr:colOff>
      <xdr:row>6</xdr:row>
      <xdr:rowOff>95250</xdr:rowOff>
    </xdr:from>
    <xdr:to>
      <xdr:col>26</xdr:col>
      <xdr:colOff>0</xdr:colOff>
      <xdr:row>8</xdr:row>
      <xdr:rowOff>85725</xdr:rowOff>
    </xdr:to>
    <xdr:sp>
      <xdr:nvSpPr>
        <xdr:cNvPr id="9" name="Text Box 18"/>
        <xdr:cNvSpPr txBox="1">
          <a:spLocks noChangeArrowheads="1"/>
        </xdr:cNvSpPr>
      </xdr:nvSpPr>
      <xdr:spPr>
        <a:xfrm>
          <a:off x="3705225" y="1400175"/>
          <a:ext cx="10287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9525</xdr:colOff>
      <xdr:row>29</xdr:row>
      <xdr:rowOff>56515</xdr:rowOff>
    </xdr:from>
    <xdr:to>
      <xdr:col>57</xdr:col>
      <xdr:colOff>0</xdr:colOff>
      <xdr:row>29</xdr:row>
      <xdr:rowOff>56515</xdr:rowOff>
    </xdr:to>
    <xdr:sp>
      <xdr:nvSpPr>
        <xdr:cNvPr id="43551" name="Line 19"/>
        <xdr:cNvSpPr/>
      </xdr:nvSpPr>
      <xdr:spPr>
        <a:xfrm>
          <a:off x="5229225" y="8619490"/>
          <a:ext cx="45148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0</xdr:colOff>
      <xdr:row>27</xdr:row>
      <xdr:rowOff>85725</xdr:rowOff>
    </xdr:from>
    <xdr:to>
      <xdr:col>33</xdr:col>
      <xdr:colOff>0</xdr:colOff>
      <xdr:row>27</xdr:row>
      <xdr:rowOff>85725</xdr:rowOff>
    </xdr:to>
    <xdr:sp>
      <xdr:nvSpPr>
        <xdr:cNvPr id="43552" name="Line 20"/>
        <xdr:cNvSpPr/>
      </xdr:nvSpPr>
      <xdr:spPr>
        <a:xfrm>
          <a:off x="5219700" y="819150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30</xdr:col>
      <xdr:colOff>0</xdr:colOff>
      <xdr:row>27</xdr:row>
      <xdr:rowOff>95250</xdr:rowOff>
    </xdr:from>
    <xdr:to>
      <xdr:col>32</xdr:col>
      <xdr:colOff>85725</xdr:colOff>
      <xdr:row>28</xdr:row>
      <xdr:rowOff>95250</xdr:rowOff>
    </xdr:to>
    <xdr:sp>
      <xdr:nvSpPr>
        <xdr:cNvPr id="10" name="Text Box 21"/>
        <xdr:cNvSpPr txBox="1">
          <a:spLocks noChangeArrowheads="1"/>
        </xdr:cNvSpPr>
      </xdr:nvSpPr>
      <xdr:spPr>
        <a:xfrm>
          <a:off x="5381625" y="82010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33</xdr:col>
      <xdr:colOff>0</xdr:colOff>
      <xdr:row>27</xdr:row>
      <xdr:rowOff>85725</xdr:rowOff>
    </xdr:from>
    <xdr:to>
      <xdr:col>37</xdr:col>
      <xdr:colOff>0</xdr:colOff>
      <xdr:row>27</xdr:row>
      <xdr:rowOff>85725</xdr:rowOff>
    </xdr:to>
    <xdr:sp>
      <xdr:nvSpPr>
        <xdr:cNvPr id="43554" name="Line 22"/>
        <xdr:cNvSpPr/>
      </xdr:nvSpPr>
      <xdr:spPr>
        <a:xfrm>
          <a:off x="5867400" y="819150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33</xdr:col>
      <xdr:colOff>114300</xdr:colOff>
      <xdr:row>27</xdr:row>
      <xdr:rowOff>95250</xdr:rowOff>
    </xdr:from>
    <xdr:to>
      <xdr:col>36</xdr:col>
      <xdr:colOff>38100</xdr:colOff>
      <xdr:row>28</xdr:row>
      <xdr:rowOff>95250</xdr:rowOff>
    </xdr:to>
    <xdr:sp>
      <xdr:nvSpPr>
        <xdr:cNvPr id="11" name="Text Box 23"/>
        <xdr:cNvSpPr txBox="1">
          <a:spLocks noChangeArrowheads="1"/>
        </xdr:cNvSpPr>
      </xdr:nvSpPr>
      <xdr:spPr>
        <a:xfrm>
          <a:off x="5981700" y="82010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55</xdr:col>
      <xdr:colOff>9525</xdr:colOff>
      <xdr:row>27</xdr:row>
      <xdr:rowOff>85725</xdr:rowOff>
    </xdr:from>
    <xdr:to>
      <xdr:col>56</xdr:col>
      <xdr:colOff>152400</xdr:colOff>
      <xdr:row>27</xdr:row>
      <xdr:rowOff>85725</xdr:rowOff>
    </xdr:to>
    <xdr:sp>
      <xdr:nvSpPr>
        <xdr:cNvPr id="43556" name="Line 24"/>
        <xdr:cNvSpPr/>
      </xdr:nvSpPr>
      <xdr:spPr>
        <a:xfrm>
          <a:off x="9429750" y="8191500"/>
          <a:ext cx="3048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52</xdr:col>
      <xdr:colOff>85725</xdr:colOff>
      <xdr:row>27</xdr:row>
      <xdr:rowOff>28575</xdr:rowOff>
    </xdr:from>
    <xdr:to>
      <xdr:col>55</xdr:col>
      <xdr:colOff>9525</xdr:colOff>
      <xdr:row>28</xdr:row>
      <xdr:rowOff>28575</xdr:rowOff>
    </xdr:to>
    <xdr:sp>
      <xdr:nvSpPr>
        <xdr:cNvPr id="12" name="Text Box 25"/>
        <xdr:cNvSpPr txBox="1">
          <a:spLocks noChangeArrowheads="1"/>
        </xdr:cNvSpPr>
      </xdr:nvSpPr>
      <xdr:spPr>
        <a:xfrm>
          <a:off x="9020175" y="81343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0</xdr:colOff>
      <xdr:row>27</xdr:row>
      <xdr:rowOff>85725</xdr:rowOff>
    </xdr:from>
    <xdr:to>
      <xdr:col>61</xdr:col>
      <xdr:colOff>0</xdr:colOff>
      <xdr:row>27</xdr:row>
      <xdr:rowOff>85725</xdr:rowOff>
    </xdr:to>
    <xdr:sp>
      <xdr:nvSpPr>
        <xdr:cNvPr id="43558" name="Line 26"/>
        <xdr:cNvSpPr/>
      </xdr:nvSpPr>
      <xdr:spPr>
        <a:xfrm>
          <a:off x="9744075" y="819150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57</xdr:col>
      <xdr:colOff>133350</xdr:colOff>
      <xdr:row>27</xdr:row>
      <xdr:rowOff>85725</xdr:rowOff>
    </xdr:from>
    <xdr:to>
      <xdr:col>60</xdr:col>
      <xdr:colOff>57150</xdr:colOff>
      <xdr:row>28</xdr:row>
      <xdr:rowOff>85725</xdr:rowOff>
    </xdr:to>
    <xdr:sp>
      <xdr:nvSpPr>
        <xdr:cNvPr id="13" name="Text Box 27"/>
        <xdr:cNvSpPr txBox="1">
          <a:spLocks noChangeArrowheads="1"/>
        </xdr:cNvSpPr>
      </xdr:nvSpPr>
      <xdr:spPr>
        <a:xfrm>
          <a:off x="9877425" y="819150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13</xdr:col>
      <xdr:colOff>9525</xdr:colOff>
      <xdr:row>30</xdr:row>
      <xdr:rowOff>94615</xdr:rowOff>
    </xdr:from>
    <xdr:to>
      <xdr:col>61</xdr:col>
      <xdr:colOff>0</xdr:colOff>
      <xdr:row>30</xdr:row>
      <xdr:rowOff>94615</xdr:rowOff>
    </xdr:to>
    <xdr:sp>
      <xdr:nvSpPr>
        <xdr:cNvPr id="43560" name="Line 28"/>
        <xdr:cNvSpPr/>
      </xdr:nvSpPr>
      <xdr:spPr>
        <a:xfrm>
          <a:off x="2638425" y="8886190"/>
          <a:ext cx="77533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9525</xdr:colOff>
      <xdr:row>25</xdr:row>
      <xdr:rowOff>94615</xdr:rowOff>
    </xdr:from>
    <xdr:to>
      <xdr:col>28</xdr:col>
      <xdr:colOff>152400</xdr:colOff>
      <xdr:row>25</xdr:row>
      <xdr:rowOff>94615</xdr:rowOff>
    </xdr:to>
    <xdr:sp>
      <xdr:nvSpPr>
        <xdr:cNvPr id="43561" name="Line 29"/>
        <xdr:cNvSpPr/>
      </xdr:nvSpPr>
      <xdr:spPr>
        <a:xfrm>
          <a:off x="2962275" y="6485890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19</xdr:col>
      <xdr:colOff>142875</xdr:colOff>
      <xdr:row>23</xdr:row>
      <xdr:rowOff>114300</xdr:rowOff>
    </xdr:from>
    <xdr:to>
      <xdr:col>26</xdr:col>
      <xdr:colOff>0</xdr:colOff>
      <xdr:row>25</xdr:row>
      <xdr:rowOff>104775</xdr:rowOff>
    </xdr:to>
    <xdr:sp>
      <xdr:nvSpPr>
        <xdr:cNvPr id="14" name="Text Box 30"/>
        <xdr:cNvSpPr txBox="1">
          <a:spLocks noChangeArrowheads="1"/>
        </xdr:cNvSpPr>
      </xdr:nvSpPr>
      <xdr:spPr>
        <a:xfrm>
          <a:off x="3743325" y="6048375"/>
          <a:ext cx="9906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26</xdr:col>
      <xdr:colOff>152400</xdr:colOff>
      <xdr:row>27</xdr:row>
      <xdr:rowOff>85725</xdr:rowOff>
    </xdr:from>
    <xdr:to>
      <xdr:col>29</xdr:col>
      <xdr:colOff>19050</xdr:colOff>
      <xdr:row>27</xdr:row>
      <xdr:rowOff>85725</xdr:rowOff>
    </xdr:to>
    <xdr:sp>
      <xdr:nvSpPr>
        <xdr:cNvPr id="43563" name="Line 31"/>
        <xdr:cNvSpPr/>
      </xdr:nvSpPr>
      <xdr:spPr>
        <a:xfrm>
          <a:off x="4886325" y="8191500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26</xdr:col>
      <xdr:colOff>114300</xdr:colOff>
      <xdr:row>27</xdr:row>
      <xdr:rowOff>114300</xdr:rowOff>
    </xdr:from>
    <xdr:to>
      <xdr:col>29</xdr:col>
      <xdr:colOff>38100</xdr:colOff>
      <xdr:row>28</xdr:row>
      <xdr:rowOff>114300</xdr:rowOff>
    </xdr:to>
    <xdr:sp>
      <xdr:nvSpPr>
        <xdr:cNvPr id="15" name="Text Box 32"/>
        <xdr:cNvSpPr txBox="1">
          <a:spLocks noChangeArrowheads="1"/>
        </xdr:cNvSpPr>
      </xdr:nvSpPr>
      <xdr:spPr>
        <a:xfrm>
          <a:off x="4848225" y="82200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15</xdr:col>
      <xdr:colOff>0</xdr:colOff>
      <xdr:row>27</xdr:row>
      <xdr:rowOff>76200</xdr:rowOff>
    </xdr:from>
    <xdr:to>
      <xdr:col>19</xdr:col>
      <xdr:colOff>0</xdr:colOff>
      <xdr:row>27</xdr:row>
      <xdr:rowOff>76200</xdr:rowOff>
    </xdr:to>
    <xdr:sp>
      <xdr:nvSpPr>
        <xdr:cNvPr id="43565" name="Line 33"/>
        <xdr:cNvSpPr/>
      </xdr:nvSpPr>
      <xdr:spPr>
        <a:xfrm>
          <a:off x="2952750" y="818197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114300</xdr:colOff>
      <xdr:row>27</xdr:row>
      <xdr:rowOff>85725</xdr:rowOff>
    </xdr:from>
    <xdr:to>
      <xdr:col>18</xdr:col>
      <xdr:colOff>38100</xdr:colOff>
      <xdr:row>28</xdr:row>
      <xdr:rowOff>85725</xdr:rowOff>
    </xdr:to>
    <xdr:sp>
      <xdr:nvSpPr>
        <xdr:cNvPr id="16" name="Text Box 34"/>
        <xdr:cNvSpPr txBox="1">
          <a:spLocks noChangeArrowheads="1"/>
        </xdr:cNvSpPr>
      </xdr:nvSpPr>
      <xdr:spPr>
        <a:xfrm>
          <a:off x="3067050" y="819150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0</xdr:colOff>
      <xdr:row>25</xdr:row>
      <xdr:rowOff>94615</xdr:rowOff>
    </xdr:from>
    <xdr:to>
      <xdr:col>33</xdr:col>
      <xdr:colOff>0</xdr:colOff>
      <xdr:row>25</xdr:row>
      <xdr:rowOff>94615</xdr:rowOff>
    </xdr:to>
    <xdr:sp>
      <xdr:nvSpPr>
        <xdr:cNvPr id="43567" name="Line 35"/>
        <xdr:cNvSpPr/>
      </xdr:nvSpPr>
      <xdr:spPr>
        <a:xfrm>
          <a:off x="5219700" y="648589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133350</xdr:colOff>
      <xdr:row>23</xdr:row>
      <xdr:rowOff>114300</xdr:rowOff>
    </xdr:from>
    <xdr:to>
      <xdr:col>32</xdr:col>
      <xdr:colOff>57150</xdr:colOff>
      <xdr:row>25</xdr:row>
      <xdr:rowOff>104775</xdr:rowOff>
    </xdr:to>
    <xdr:sp>
      <xdr:nvSpPr>
        <xdr:cNvPr id="17" name="Text Box 36"/>
        <xdr:cNvSpPr txBox="1">
          <a:spLocks noChangeArrowheads="1"/>
        </xdr:cNvSpPr>
      </xdr:nvSpPr>
      <xdr:spPr>
        <a:xfrm>
          <a:off x="5353050" y="604837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33</xdr:col>
      <xdr:colOff>9525</xdr:colOff>
      <xdr:row>25</xdr:row>
      <xdr:rowOff>94615</xdr:rowOff>
    </xdr:from>
    <xdr:to>
      <xdr:col>57</xdr:col>
      <xdr:colOff>9525</xdr:colOff>
      <xdr:row>25</xdr:row>
      <xdr:rowOff>94615</xdr:rowOff>
    </xdr:to>
    <xdr:sp>
      <xdr:nvSpPr>
        <xdr:cNvPr id="43569" name="Line 37"/>
        <xdr:cNvSpPr/>
      </xdr:nvSpPr>
      <xdr:spPr>
        <a:xfrm>
          <a:off x="5876925" y="6485890"/>
          <a:ext cx="38766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42</xdr:col>
      <xdr:colOff>142875</xdr:colOff>
      <xdr:row>23</xdr:row>
      <xdr:rowOff>104775</xdr:rowOff>
    </xdr:from>
    <xdr:to>
      <xdr:col>49</xdr:col>
      <xdr:colOff>57150</xdr:colOff>
      <xdr:row>25</xdr:row>
      <xdr:rowOff>95250</xdr:rowOff>
    </xdr:to>
    <xdr:sp>
      <xdr:nvSpPr>
        <xdr:cNvPr id="18" name="Text Box 38"/>
        <xdr:cNvSpPr txBox="1">
          <a:spLocks noChangeArrowheads="1"/>
        </xdr:cNvSpPr>
      </xdr:nvSpPr>
      <xdr:spPr>
        <a:xfrm>
          <a:off x="7467600" y="6038850"/>
          <a:ext cx="10382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HBP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9525</xdr:colOff>
      <xdr:row>25</xdr:row>
      <xdr:rowOff>94615</xdr:rowOff>
    </xdr:from>
    <xdr:to>
      <xdr:col>70</xdr:col>
      <xdr:colOff>152400</xdr:colOff>
      <xdr:row>25</xdr:row>
      <xdr:rowOff>94615</xdr:rowOff>
    </xdr:to>
    <xdr:sp>
      <xdr:nvSpPr>
        <xdr:cNvPr id="43571" name="Line 39"/>
        <xdr:cNvSpPr/>
      </xdr:nvSpPr>
      <xdr:spPr>
        <a:xfrm>
          <a:off x="9753600" y="6485890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61</xdr:col>
      <xdr:colOff>85725</xdr:colOff>
      <xdr:row>24</xdr:row>
      <xdr:rowOff>85725</xdr:rowOff>
    </xdr:from>
    <xdr:to>
      <xdr:col>68</xdr:col>
      <xdr:colOff>85725</xdr:colOff>
      <xdr:row>25</xdr:row>
      <xdr:rowOff>85725</xdr:rowOff>
    </xdr:to>
    <xdr:sp>
      <xdr:nvSpPr>
        <xdr:cNvPr id="19" name="Text Box 40"/>
        <xdr:cNvSpPr txBox="1">
          <a:spLocks noChangeArrowheads="1"/>
        </xdr:cNvSpPr>
      </xdr:nvSpPr>
      <xdr:spPr>
        <a:xfrm>
          <a:off x="10477500" y="6248400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71</xdr:col>
      <xdr:colOff>0</xdr:colOff>
      <xdr:row>25</xdr:row>
      <xdr:rowOff>94615</xdr:rowOff>
    </xdr:from>
    <xdr:to>
      <xdr:col>84</xdr:col>
      <xdr:colOff>142875</xdr:colOff>
      <xdr:row>25</xdr:row>
      <xdr:rowOff>94615</xdr:rowOff>
    </xdr:to>
    <xdr:sp>
      <xdr:nvSpPr>
        <xdr:cNvPr id="43573" name="Line 41"/>
        <xdr:cNvSpPr/>
      </xdr:nvSpPr>
      <xdr:spPr>
        <a:xfrm>
          <a:off x="12011025" y="6485890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75</xdr:col>
      <xdr:colOff>66675</xdr:colOff>
      <xdr:row>23</xdr:row>
      <xdr:rowOff>114300</xdr:rowOff>
    </xdr:from>
    <xdr:to>
      <xdr:col>81</xdr:col>
      <xdr:colOff>47625</xdr:colOff>
      <xdr:row>25</xdr:row>
      <xdr:rowOff>104775</xdr:rowOff>
    </xdr:to>
    <xdr:sp>
      <xdr:nvSpPr>
        <xdr:cNvPr id="20" name="Text Box 42"/>
        <xdr:cNvSpPr txBox="1">
          <a:spLocks noChangeArrowheads="1"/>
        </xdr:cNvSpPr>
      </xdr:nvSpPr>
      <xdr:spPr>
        <a:xfrm>
          <a:off x="12725400" y="6048375"/>
          <a:ext cx="952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85</xdr:col>
      <xdr:colOff>0</xdr:colOff>
      <xdr:row>25</xdr:row>
      <xdr:rowOff>94615</xdr:rowOff>
    </xdr:from>
    <xdr:to>
      <xdr:col>89</xdr:col>
      <xdr:colOff>0</xdr:colOff>
      <xdr:row>25</xdr:row>
      <xdr:rowOff>94615</xdr:rowOff>
    </xdr:to>
    <xdr:sp>
      <xdr:nvSpPr>
        <xdr:cNvPr id="43575" name="Line 43"/>
        <xdr:cNvSpPr/>
      </xdr:nvSpPr>
      <xdr:spPr>
        <a:xfrm>
          <a:off x="14277975" y="648589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85</xdr:col>
      <xdr:colOff>114300</xdr:colOff>
      <xdr:row>23</xdr:row>
      <xdr:rowOff>104775</xdr:rowOff>
    </xdr:from>
    <xdr:to>
      <xdr:col>88</xdr:col>
      <xdr:colOff>38100</xdr:colOff>
      <xdr:row>25</xdr:row>
      <xdr:rowOff>95250</xdr:rowOff>
    </xdr:to>
    <xdr:sp>
      <xdr:nvSpPr>
        <xdr:cNvPr id="21" name="Text Box 44"/>
        <xdr:cNvSpPr txBox="1">
          <a:spLocks noChangeArrowheads="1"/>
        </xdr:cNvSpPr>
      </xdr:nvSpPr>
      <xdr:spPr>
        <a:xfrm>
          <a:off x="14392275" y="6038850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133350</xdr:colOff>
      <xdr:row>27</xdr:row>
      <xdr:rowOff>76200</xdr:rowOff>
    </xdr:from>
    <xdr:to>
      <xdr:col>15</xdr:col>
      <xdr:colOff>57150</xdr:colOff>
      <xdr:row>28</xdr:row>
      <xdr:rowOff>76200</xdr:rowOff>
    </xdr:to>
    <xdr:sp>
      <xdr:nvSpPr>
        <xdr:cNvPr id="22" name="Text Box 45"/>
        <xdr:cNvSpPr txBox="1">
          <a:spLocks noChangeArrowheads="1"/>
        </xdr:cNvSpPr>
      </xdr:nvSpPr>
      <xdr:spPr>
        <a:xfrm>
          <a:off x="2600325" y="81819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152400</xdr:colOff>
      <xdr:row>27</xdr:row>
      <xdr:rowOff>76200</xdr:rowOff>
    </xdr:from>
    <xdr:to>
      <xdr:col>15</xdr:col>
      <xdr:colOff>19050</xdr:colOff>
      <xdr:row>27</xdr:row>
      <xdr:rowOff>76200</xdr:rowOff>
    </xdr:to>
    <xdr:sp>
      <xdr:nvSpPr>
        <xdr:cNvPr id="43578" name="Line 46"/>
        <xdr:cNvSpPr/>
      </xdr:nvSpPr>
      <xdr:spPr>
        <a:xfrm>
          <a:off x="2619375" y="8181975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0</xdr:colOff>
      <xdr:row>25</xdr:row>
      <xdr:rowOff>94615</xdr:rowOff>
    </xdr:from>
    <xdr:to>
      <xdr:col>15</xdr:col>
      <xdr:colOff>0</xdr:colOff>
      <xdr:row>25</xdr:row>
      <xdr:rowOff>94615</xdr:rowOff>
    </xdr:to>
    <xdr:sp>
      <xdr:nvSpPr>
        <xdr:cNvPr id="43579" name="Line 47"/>
        <xdr:cNvSpPr/>
      </xdr:nvSpPr>
      <xdr:spPr>
        <a:xfrm>
          <a:off x="685800" y="6485890"/>
          <a:ext cx="2266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24</xdr:row>
      <xdr:rowOff>19050</xdr:rowOff>
    </xdr:from>
    <xdr:to>
      <xdr:col>12</xdr:col>
      <xdr:colOff>85725</xdr:colOff>
      <xdr:row>25</xdr:row>
      <xdr:rowOff>19050</xdr:rowOff>
    </xdr:to>
    <xdr:sp>
      <xdr:nvSpPr>
        <xdr:cNvPr id="23" name="Text Box 48"/>
        <xdr:cNvSpPr txBox="1">
          <a:spLocks noChangeArrowheads="1"/>
        </xdr:cNvSpPr>
      </xdr:nvSpPr>
      <xdr:spPr>
        <a:xfrm>
          <a:off x="1419225" y="6181725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</xdr:col>
      <xdr:colOff>0</xdr:colOff>
      <xdr:row>8</xdr:row>
      <xdr:rowOff>94615</xdr:rowOff>
    </xdr:from>
    <xdr:to>
      <xdr:col>15</xdr:col>
      <xdr:colOff>0</xdr:colOff>
      <xdr:row>8</xdr:row>
      <xdr:rowOff>94615</xdr:rowOff>
    </xdr:to>
    <xdr:sp>
      <xdr:nvSpPr>
        <xdr:cNvPr id="43581" name="Line 49"/>
        <xdr:cNvSpPr/>
      </xdr:nvSpPr>
      <xdr:spPr>
        <a:xfrm>
          <a:off x="685800" y="1856740"/>
          <a:ext cx="2266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7</xdr:row>
      <xdr:rowOff>19050</xdr:rowOff>
    </xdr:from>
    <xdr:to>
      <xdr:col>12</xdr:col>
      <xdr:colOff>85725</xdr:colOff>
      <xdr:row>8</xdr:row>
      <xdr:rowOff>19050</xdr:rowOff>
    </xdr:to>
    <xdr:sp>
      <xdr:nvSpPr>
        <xdr:cNvPr id="24" name="Text Box 50"/>
        <xdr:cNvSpPr txBox="1">
          <a:spLocks noChangeArrowheads="1"/>
        </xdr:cNvSpPr>
      </xdr:nvSpPr>
      <xdr:spPr>
        <a:xfrm>
          <a:off x="1419225" y="1552575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15</xdr:col>
      <xdr:colOff>0</xdr:colOff>
      <xdr:row>10</xdr:row>
      <xdr:rowOff>76200</xdr:rowOff>
    </xdr:from>
    <xdr:to>
      <xdr:col>19</xdr:col>
      <xdr:colOff>0</xdr:colOff>
      <xdr:row>10</xdr:row>
      <xdr:rowOff>76200</xdr:rowOff>
    </xdr:to>
    <xdr:sp>
      <xdr:nvSpPr>
        <xdr:cNvPr id="43583" name="Line 51"/>
        <xdr:cNvSpPr/>
      </xdr:nvSpPr>
      <xdr:spPr>
        <a:xfrm>
          <a:off x="2952750" y="317182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114300</xdr:colOff>
      <xdr:row>10</xdr:row>
      <xdr:rowOff>85725</xdr:rowOff>
    </xdr:from>
    <xdr:to>
      <xdr:col>18</xdr:col>
      <xdr:colOff>38100</xdr:colOff>
      <xdr:row>11</xdr:row>
      <xdr:rowOff>85725</xdr:rowOff>
    </xdr:to>
    <xdr:sp>
      <xdr:nvSpPr>
        <xdr:cNvPr id="25" name="Text Box 52"/>
        <xdr:cNvSpPr txBox="1">
          <a:spLocks noChangeArrowheads="1"/>
        </xdr:cNvSpPr>
      </xdr:nvSpPr>
      <xdr:spPr>
        <a:xfrm>
          <a:off x="3067050" y="31813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133350</xdr:colOff>
      <xdr:row>10</xdr:row>
      <xdr:rowOff>76200</xdr:rowOff>
    </xdr:from>
    <xdr:to>
      <xdr:col>15</xdr:col>
      <xdr:colOff>57150</xdr:colOff>
      <xdr:row>11</xdr:row>
      <xdr:rowOff>76200</xdr:rowOff>
    </xdr:to>
    <xdr:sp>
      <xdr:nvSpPr>
        <xdr:cNvPr id="26" name="Text Box 53"/>
        <xdr:cNvSpPr txBox="1">
          <a:spLocks noChangeArrowheads="1"/>
        </xdr:cNvSpPr>
      </xdr:nvSpPr>
      <xdr:spPr>
        <a:xfrm>
          <a:off x="2600325" y="31718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152400</xdr:colOff>
      <xdr:row>10</xdr:row>
      <xdr:rowOff>76200</xdr:rowOff>
    </xdr:from>
    <xdr:to>
      <xdr:col>15</xdr:col>
      <xdr:colOff>19050</xdr:colOff>
      <xdr:row>10</xdr:row>
      <xdr:rowOff>76200</xdr:rowOff>
    </xdr:to>
    <xdr:sp>
      <xdr:nvSpPr>
        <xdr:cNvPr id="43586" name="Line 54"/>
        <xdr:cNvSpPr/>
      </xdr:nvSpPr>
      <xdr:spPr>
        <a:xfrm>
          <a:off x="2619375" y="3171825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0</xdr:colOff>
      <xdr:row>10</xdr:row>
      <xdr:rowOff>85725</xdr:rowOff>
    </xdr:from>
    <xdr:to>
      <xdr:col>33</xdr:col>
      <xdr:colOff>0</xdr:colOff>
      <xdr:row>10</xdr:row>
      <xdr:rowOff>85725</xdr:rowOff>
    </xdr:to>
    <xdr:sp>
      <xdr:nvSpPr>
        <xdr:cNvPr id="43587" name="Line 55"/>
        <xdr:cNvSpPr/>
      </xdr:nvSpPr>
      <xdr:spPr>
        <a:xfrm>
          <a:off x="5219700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30</xdr:col>
      <xdr:colOff>0</xdr:colOff>
      <xdr:row>10</xdr:row>
      <xdr:rowOff>95250</xdr:rowOff>
    </xdr:from>
    <xdr:to>
      <xdr:col>32</xdr:col>
      <xdr:colOff>85725</xdr:colOff>
      <xdr:row>11</xdr:row>
      <xdr:rowOff>95250</xdr:rowOff>
    </xdr:to>
    <xdr:sp>
      <xdr:nvSpPr>
        <xdr:cNvPr id="27" name="Text Box 56"/>
        <xdr:cNvSpPr txBox="1">
          <a:spLocks noChangeArrowheads="1"/>
        </xdr:cNvSpPr>
      </xdr:nvSpPr>
      <xdr:spPr>
        <a:xfrm>
          <a:off x="5381625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33</xdr:col>
      <xdr:colOff>0</xdr:colOff>
      <xdr:row>10</xdr:row>
      <xdr:rowOff>85725</xdr:rowOff>
    </xdr:from>
    <xdr:to>
      <xdr:col>37</xdr:col>
      <xdr:colOff>0</xdr:colOff>
      <xdr:row>10</xdr:row>
      <xdr:rowOff>85725</xdr:rowOff>
    </xdr:to>
    <xdr:sp>
      <xdr:nvSpPr>
        <xdr:cNvPr id="43589" name="Line 57"/>
        <xdr:cNvSpPr/>
      </xdr:nvSpPr>
      <xdr:spPr>
        <a:xfrm>
          <a:off x="5867400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33</xdr:col>
      <xdr:colOff>114300</xdr:colOff>
      <xdr:row>10</xdr:row>
      <xdr:rowOff>95250</xdr:rowOff>
    </xdr:from>
    <xdr:to>
      <xdr:col>36</xdr:col>
      <xdr:colOff>38100</xdr:colOff>
      <xdr:row>11</xdr:row>
      <xdr:rowOff>95250</xdr:rowOff>
    </xdr:to>
    <xdr:sp>
      <xdr:nvSpPr>
        <xdr:cNvPr id="28" name="Text Box 58"/>
        <xdr:cNvSpPr txBox="1">
          <a:spLocks noChangeArrowheads="1"/>
        </xdr:cNvSpPr>
      </xdr:nvSpPr>
      <xdr:spPr>
        <a:xfrm>
          <a:off x="5981700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26</xdr:col>
      <xdr:colOff>152400</xdr:colOff>
      <xdr:row>10</xdr:row>
      <xdr:rowOff>85725</xdr:rowOff>
    </xdr:from>
    <xdr:to>
      <xdr:col>29</xdr:col>
      <xdr:colOff>19050</xdr:colOff>
      <xdr:row>10</xdr:row>
      <xdr:rowOff>85725</xdr:rowOff>
    </xdr:to>
    <xdr:sp>
      <xdr:nvSpPr>
        <xdr:cNvPr id="43591" name="Line 59"/>
        <xdr:cNvSpPr/>
      </xdr:nvSpPr>
      <xdr:spPr>
        <a:xfrm>
          <a:off x="4886325" y="3181350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26</xdr:col>
      <xdr:colOff>114300</xdr:colOff>
      <xdr:row>10</xdr:row>
      <xdr:rowOff>114300</xdr:rowOff>
    </xdr:from>
    <xdr:to>
      <xdr:col>29</xdr:col>
      <xdr:colOff>38100</xdr:colOff>
      <xdr:row>11</xdr:row>
      <xdr:rowOff>114300</xdr:rowOff>
    </xdr:to>
    <xdr:sp>
      <xdr:nvSpPr>
        <xdr:cNvPr id="29" name="Text Box 60"/>
        <xdr:cNvSpPr txBox="1">
          <a:spLocks noChangeArrowheads="1"/>
        </xdr:cNvSpPr>
      </xdr:nvSpPr>
      <xdr:spPr>
        <a:xfrm>
          <a:off x="4848225" y="32099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41</xdr:col>
      <xdr:colOff>0</xdr:colOff>
      <xdr:row>10</xdr:row>
      <xdr:rowOff>85725</xdr:rowOff>
    </xdr:from>
    <xdr:to>
      <xdr:col>45</xdr:col>
      <xdr:colOff>0</xdr:colOff>
      <xdr:row>10</xdr:row>
      <xdr:rowOff>85725</xdr:rowOff>
    </xdr:to>
    <xdr:sp>
      <xdr:nvSpPr>
        <xdr:cNvPr id="43593" name="Line 61"/>
        <xdr:cNvSpPr/>
      </xdr:nvSpPr>
      <xdr:spPr>
        <a:xfrm>
          <a:off x="7162800" y="3181350"/>
          <a:ext cx="6381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42</xdr:col>
      <xdr:colOff>0</xdr:colOff>
      <xdr:row>10</xdr:row>
      <xdr:rowOff>95250</xdr:rowOff>
    </xdr:from>
    <xdr:to>
      <xdr:col>44</xdr:col>
      <xdr:colOff>85725</xdr:colOff>
      <xdr:row>11</xdr:row>
      <xdr:rowOff>95250</xdr:rowOff>
    </xdr:to>
    <xdr:sp>
      <xdr:nvSpPr>
        <xdr:cNvPr id="30" name="Text Box 62"/>
        <xdr:cNvSpPr txBox="1">
          <a:spLocks noChangeArrowheads="1"/>
        </xdr:cNvSpPr>
      </xdr:nvSpPr>
      <xdr:spPr>
        <a:xfrm>
          <a:off x="7324725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45</xdr:col>
      <xdr:colOff>0</xdr:colOff>
      <xdr:row>10</xdr:row>
      <xdr:rowOff>85725</xdr:rowOff>
    </xdr:from>
    <xdr:to>
      <xdr:col>49</xdr:col>
      <xdr:colOff>0</xdr:colOff>
      <xdr:row>10</xdr:row>
      <xdr:rowOff>85725</xdr:rowOff>
    </xdr:to>
    <xdr:sp>
      <xdr:nvSpPr>
        <xdr:cNvPr id="43595" name="Line 63"/>
        <xdr:cNvSpPr/>
      </xdr:nvSpPr>
      <xdr:spPr>
        <a:xfrm>
          <a:off x="7800975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45</xdr:col>
      <xdr:colOff>114300</xdr:colOff>
      <xdr:row>10</xdr:row>
      <xdr:rowOff>95250</xdr:rowOff>
    </xdr:from>
    <xdr:to>
      <xdr:col>48</xdr:col>
      <xdr:colOff>38100</xdr:colOff>
      <xdr:row>11</xdr:row>
      <xdr:rowOff>95250</xdr:rowOff>
    </xdr:to>
    <xdr:sp>
      <xdr:nvSpPr>
        <xdr:cNvPr id="31" name="Text Box 64"/>
        <xdr:cNvSpPr txBox="1">
          <a:spLocks noChangeArrowheads="1"/>
        </xdr:cNvSpPr>
      </xdr:nvSpPr>
      <xdr:spPr>
        <a:xfrm>
          <a:off x="7915275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55</xdr:col>
      <xdr:colOff>9525</xdr:colOff>
      <xdr:row>10</xdr:row>
      <xdr:rowOff>85725</xdr:rowOff>
    </xdr:from>
    <xdr:to>
      <xdr:col>56</xdr:col>
      <xdr:colOff>152400</xdr:colOff>
      <xdr:row>10</xdr:row>
      <xdr:rowOff>85725</xdr:rowOff>
    </xdr:to>
    <xdr:sp>
      <xdr:nvSpPr>
        <xdr:cNvPr id="43597" name="Line 65"/>
        <xdr:cNvSpPr/>
      </xdr:nvSpPr>
      <xdr:spPr>
        <a:xfrm>
          <a:off x="9429750" y="3181350"/>
          <a:ext cx="3048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52</xdr:col>
      <xdr:colOff>95250</xdr:colOff>
      <xdr:row>10</xdr:row>
      <xdr:rowOff>9525</xdr:rowOff>
    </xdr:from>
    <xdr:to>
      <xdr:col>55</xdr:col>
      <xdr:colOff>19050</xdr:colOff>
      <xdr:row>11</xdr:row>
      <xdr:rowOff>9525</xdr:rowOff>
    </xdr:to>
    <xdr:sp>
      <xdr:nvSpPr>
        <xdr:cNvPr id="32" name="Text Box 66"/>
        <xdr:cNvSpPr txBox="1">
          <a:spLocks noChangeArrowheads="1"/>
        </xdr:cNvSpPr>
      </xdr:nvSpPr>
      <xdr:spPr>
        <a:xfrm>
          <a:off x="9029700" y="31051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0</xdr:colOff>
      <xdr:row>10</xdr:row>
      <xdr:rowOff>85725</xdr:rowOff>
    </xdr:from>
    <xdr:to>
      <xdr:col>61</xdr:col>
      <xdr:colOff>0</xdr:colOff>
      <xdr:row>10</xdr:row>
      <xdr:rowOff>85725</xdr:rowOff>
    </xdr:to>
    <xdr:sp>
      <xdr:nvSpPr>
        <xdr:cNvPr id="43599" name="Line 67"/>
        <xdr:cNvSpPr/>
      </xdr:nvSpPr>
      <xdr:spPr>
        <a:xfrm>
          <a:off x="9744075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57</xdr:col>
      <xdr:colOff>133350</xdr:colOff>
      <xdr:row>10</xdr:row>
      <xdr:rowOff>85725</xdr:rowOff>
    </xdr:from>
    <xdr:to>
      <xdr:col>60</xdr:col>
      <xdr:colOff>57150</xdr:colOff>
      <xdr:row>11</xdr:row>
      <xdr:rowOff>85725</xdr:rowOff>
    </xdr:to>
    <xdr:sp>
      <xdr:nvSpPr>
        <xdr:cNvPr id="33" name="Text Box 68"/>
        <xdr:cNvSpPr txBox="1">
          <a:spLocks noChangeArrowheads="1"/>
        </xdr:cNvSpPr>
      </xdr:nvSpPr>
      <xdr:spPr>
        <a:xfrm>
          <a:off x="9877425" y="31813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0</xdr:colOff>
      <xdr:row>11</xdr:row>
      <xdr:rowOff>114300</xdr:rowOff>
    </xdr:from>
    <xdr:to>
      <xdr:col>41</xdr:col>
      <xdr:colOff>9525</xdr:colOff>
      <xdr:row>11</xdr:row>
      <xdr:rowOff>114300</xdr:rowOff>
    </xdr:to>
    <xdr:sp>
      <xdr:nvSpPr>
        <xdr:cNvPr id="43601" name="Line 69"/>
        <xdr:cNvSpPr/>
      </xdr:nvSpPr>
      <xdr:spPr>
        <a:xfrm>
          <a:off x="5219700" y="3438525"/>
          <a:ext cx="1952625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41</xdr:col>
      <xdr:colOff>9525</xdr:colOff>
      <xdr:row>11</xdr:row>
      <xdr:rowOff>114300</xdr:rowOff>
    </xdr:from>
    <xdr:to>
      <xdr:col>57</xdr:col>
      <xdr:colOff>0</xdr:colOff>
      <xdr:row>11</xdr:row>
      <xdr:rowOff>114300</xdr:rowOff>
    </xdr:to>
    <xdr:sp>
      <xdr:nvSpPr>
        <xdr:cNvPr id="43602" name="Line 70"/>
        <xdr:cNvSpPr/>
      </xdr:nvSpPr>
      <xdr:spPr>
        <a:xfrm>
          <a:off x="7172325" y="3438525"/>
          <a:ext cx="25717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0</xdr:colOff>
      <xdr:row>14</xdr:row>
      <xdr:rowOff>38100</xdr:rowOff>
    </xdr:from>
    <xdr:to>
      <xdr:col>60</xdr:col>
      <xdr:colOff>152400</xdr:colOff>
      <xdr:row>14</xdr:row>
      <xdr:rowOff>38100</xdr:rowOff>
    </xdr:to>
    <xdr:sp>
      <xdr:nvSpPr>
        <xdr:cNvPr id="43603" name="Line 71"/>
        <xdr:cNvSpPr/>
      </xdr:nvSpPr>
      <xdr:spPr>
        <a:xfrm>
          <a:off x="2628900" y="4048125"/>
          <a:ext cx="77533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8"/>
  </sheetPr>
  <dimension ref="A1:M55"/>
  <sheetViews>
    <sheetView showGridLines="0" zoomScaleSheetLayoutView="60" workbookViewId="0">
      <pane xSplit="2" ySplit="2" topLeftCell="O40" activePane="bottomRight" state="frozen"/>
      <selection/>
      <selection pane="topRight"/>
      <selection pane="bottomLeft"/>
      <selection pane="bottomRight" activeCell="Q58" sqref="Q58"/>
    </sheetView>
  </sheetViews>
  <sheetFormatPr defaultColWidth="9" defaultRowHeight="14.25"/>
  <cols>
    <col min="1" max="1" width="4.75" style="60" customWidth="1"/>
    <col min="2" max="2" width="1.875" style="60" customWidth="1"/>
    <col min="3" max="3" width="4.625" style="60" customWidth="1"/>
    <col min="4" max="4" width="37.125" style="60" customWidth="1"/>
    <col min="5" max="5" width="1.875" style="60" customWidth="1"/>
    <col min="6" max="6" width="4.5" style="60"/>
    <col min="7" max="7" width="52.25" style="60" customWidth="1"/>
    <col min="8" max="8" width="2" style="60" customWidth="1"/>
    <col min="9" max="9" width="4.5" style="60"/>
    <col min="10" max="10" width="56.75" style="60" customWidth="1"/>
    <col min="11" max="11" width="2" style="60" customWidth="1"/>
    <col min="12" max="12" width="4.5" style="60"/>
    <col min="13" max="13" width="35.375" style="60" customWidth="1"/>
    <col min="14" max="16384" width="9" style="60"/>
  </cols>
  <sheetData>
    <row r="1" ht="33" customHeight="1" spans="1:13">
      <c r="A1" s="430"/>
      <c r="C1" s="431" t="s">
        <v>0</v>
      </c>
      <c r="D1" s="431"/>
      <c r="E1" s="435"/>
      <c r="F1" s="436" t="s">
        <v>1</v>
      </c>
      <c r="G1" s="432"/>
      <c r="I1" s="437" t="s">
        <v>2</v>
      </c>
      <c r="J1" s="438"/>
      <c r="L1" s="439" t="s">
        <v>3</v>
      </c>
      <c r="M1" s="440"/>
    </row>
    <row r="2" spans="1:13">
      <c r="A2" s="432" t="s">
        <v>4</v>
      </c>
      <c r="C2" s="433" t="s">
        <v>4</v>
      </c>
      <c r="D2" s="431" t="s">
        <v>5</v>
      </c>
      <c r="E2" s="435"/>
      <c r="F2" s="432" t="s">
        <v>4</v>
      </c>
      <c r="G2" s="432" t="s">
        <v>5</v>
      </c>
      <c r="I2" s="438" t="s">
        <v>4</v>
      </c>
      <c r="J2" s="438" t="s">
        <v>5</v>
      </c>
      <c r="L2" s="440" t="s">
        <v>4</v>
      </c>
      <c r="M2" s="440" t="s">
        <v>5</v>
      </c>
    </row>
    <row r="3" spans="1:13">
      <c r="A3" s="60" t="s">
        <v>6</v>
      </c>
      <c r="C3" s="60" t="s">
        <v>7</v>
      </c>
      <c r="D3" s="434" t="s">
        <v>8</v>
      </c>
      <c r="E3" s="434"/>
      <c r="F3" s="120" t="s">
        <v>7</v>
      </c>
      <c r="G3" s="434" t="s">
        <v>8</v>
      </c>
      <c r="I3" s="120" t="s">
        <v>7</v>
      </c>
      <c r="J3" s="434" t="s">
        <v>8</v>
      </c>
      <c r="L3" s="120" t="s">
        <v>7</v>
      </c>
      <c r="M3" s="434" t="s">
        <v>8</v>
      </c>
    </row>
    <row r="4" spans="4:13">
      <c r="D4" s="434"/>
      <c r="E4" s="434"/>
      <c r="F4" s="120"/>
      <c r="G4" s="120"/>
      <c r="I4" s="120"/>
      <c r="J4" s="120"/>
      <c r="L4" s="120"/>
      <c r="M4" s="120"/>
    </row>
    <row r="5" spans="1:7">
      <c r="A5" s="60" t="s">
        <v>9</v>
      </c>
      <c r="D5" s="434"/>
      <c r="E5" s="434"/>
      <c r="F5" s="60" t="s">
        <v>10</v>
      </c>
      <c r="G5" s="60" t="s">
        <v>11</v>
      </c>
    </row>
    <row r="6" spans="4:7">
      <c r="D6" s="434"/>
      <c r="E6" s="434"/>
      <c r="G6" s="60" t="s">
        <v>12</v>
      </c>
    </row>
    <row r="7" spans="4:7">
      <c r="D7" s="434"/>
      <c r="E7" s="434"/>
      <c r="F7" s="60" t="s">
        <v>10</v>
      </c>
      <c r="G7" s="60" t="s">
        <v>13</v>
      </c>
    </row>
    <row r="8" spans="4:7">
      <c r="D8" s="434"/>
      <c r="E8" s="434"/>
      <c r="G8" s="60" t="s">
        <v>12</v>
      </c>
    </row>
    <row r="9" spans="4:5">
      <c r="D9" s="434"/>
      <c r="E9" s="434"/>
    </row>
    <row r="10" spans="1:13">
      <c r="A10" s="60" t="s">
        <v>14</v>
      </c>
      <c r="D10" s="434"/>
      <c r="E10" s="434"/>
      <c r="L10" s="60" t="s">
        <v>10</v>
      </c>
      <c r="M10" s="60" t="s">
        <v>15</v>
      </c>
    </row>
    <row r="11" spans="4:5">
      <c r="D11" s="434"/>
      <c r="E11" s="434"/>
    </row>
    <row r="12" spans="1:13">
      <c r="A12" s="60" t="s">
        <v>16</v>
      </c>
      <c r="D12" s="434"/>
      <c r="E12" s="434"/>
      <c r="L12" s="60" t="s">
        <v>17</v>
      </c>
      <c r="M12" s="60" t="s">
        <v>18</v>
      </c>
    </row>
    <row r="13" spans="4:5">
      <c r="D13" s="434"/>
      <c r="E13" s="434"/>
    </row>
    <row r="14" spans="1:13">
      <c r="A14" s="60" t="s">
        <v>19</v>
      </c>
      <c r="D14" s="434"/>
      <c r="E14" s="434"/>
      <c r="F14" s="60" t="s">
        <v>17</v>
      </c>
      <c r="G14" s="60" t="s">
        <v>11</v>
      </c>
      <c r="I14" s="60" t="s">
        <v>10</v>
      </c>
      <c r="J14" s="60" t="s">
        <v>20</v>
      </c>
      <c r="L14" s="60" t="s">
        <v>21</v>
      </c>
      <c r="M14" s="60" t="s">
        <v>22</v>
      </c>
    </row>
    <row r="15" spans="4:7">
      <c r="D15" s="434"/>
      <c r="E15" s="434"/>
      <c r="G15" s="60" t="s">
        <v>23</v>
      </c>
    </row>
    <row r="16" spans="4:7">
      <c r="D16" s="434"/>
      <c r="E16" s="434"/>
      <c r="F16" s="60" t="s">
        <v>17</v>
      </c>
      <c r="G16" s="60" t="s">
        <v>13</v>
      </c>
    </row>
    <row r="17" spans="4:7">
      <c r="D17" s="434"/>
      <c r="E17" s="434"/>
      <c r="G17" s="60" t="s">
        <v>23</v>
      </c>
    </row>
    <row r="18" spans="4:5">
      <c r="D18" s="434"/>
      <c r="E18" s="434"/>
    </row>
    <row r="19" spans="1:7">
      <c r="A19" s="60" t="s">
        <v>24</v>
      </c>
      <c r="D19" s="434"/>
      <c r="E19" s="434"/>
      <c r="F19" s="60" t="s">
        <v>21</v>
      </c>
      <c r="G19" s="60" t="s">
        <v>11</v>
      </c>
    </row>
    <row r="20" spans="4:7">
      <c r="D20" s="434"/>
      <c r="E20" s="434"/>
      <c r="G20" s="60" t="s">
        <v>25</v>
      </c>
    </row>
    <row r="21" spans="4:7">
      <c r="D21" s="434"/>
      <c r="E21" s="434"/>
      <c r="F21" s="60" t="s">
        <v>21</v>
      </c>
      <c r="G21" s="60" t="s">
        <v>13</v>
      </c>
    </row>
    <row r="22" spans="4:7">
      <c r="D22" s="434"/>
      <c r="E22" s="434"/>
      <c r="G22" s="60" t="s">
        <v>25</v>
      </c>
    </row>
    <row r="23" spans="4:5">
      <c r="D23" s="434"/>
      <c r="E23" s="434"/>
    </row>
    <row r="24" spans="1:7">
      <c r="A24" s="60" t="s">
        <v>26</v>
      </c>
      <c r="F24" s="60" t="s">
        <v>27</v>
      </c>
      <c r="G24" s="60" t="s">
        <v>11</v>
      </c>
    </row>
    <row r="25" spans="4:7">
      <c r="D25" s="434"/>
      <c r="G25" s="60" t="s">
        <v>28</v>
      </c>
    </row>
    <row r="26" spans="6:7">
      <c r="F26" s="60" t="s">
        <v>27</v>
      </c>
      <c r="G26" s="60" t="s">
        <v>13</v>
      </c>
    </row>
    <row r="27" spans="4:7">
      <c r="D27" s="434"/>
      <c r="G27" s="60" t="s">
        <v>28</v>
      </c>
    </row>
    <row r="29" spans="1:7">
      <c r="A29" s="60" t="s">
        <v>29</v>
      </c>
      <c r="F29" s="60" t="s">
        <v>30</v>
      </c>
      <c r="G29" s="60" t="s">
        <v>11</v>
      </c>
    </row>
    <row r="30" spans="4:7">
      <c r="D30" s="434"/>
      <c r="G30" s="60" t="s">
        <v>31</v>
      </c>
    </row>
    <row r="31" spans="6:7">
      <c r="F31" s="60" t="s">
        <v>30</v>
      </c>
      <c r="G31" s="60" t="s">
        <v>13</v>
      </c>
    </row>
    <row r="32" spans="7:7">
      <c r="G32" s="60" t="s">
        <v>31</v>
      </c>
    </row>
    <row r="34" spans="1:7">
      <c r="A34" s="60" t="s">
        <v>32</v>
      </c>
      <c r="C34" s="60" t="s">
        <v>10</v>
      </c>
      <c r="D34" s="60" t="s">
        <v>33</v>
      </c>
      <c r="F34" s="60" t="s">
        <v>34</v>
      </c>
      <c r="G34" s="60" t="s">
        <v>11</v>
      </c>
    </row>
    <row r="35" spans="7:7">
      <c r="G35" s="60" t="s">
        <v>35</v>
      </c>
    </row>
    <row r="36" spans="6:7">
      <c r="F36" s="60" t="s">
        <v>34</v>
      </c>
      <c r="G36" s="60" t="s">
        <v>13</v>
      </c>
    </row>
    <row r="37" spans="7:7">
      <c r="G37" s="60" t="s">
        <v>35</v>
      </c>
    </row>
    <row r="39" spans="1:7">
      <c r="A39" s="60" t="s">
        <v>36</v>
      </c>
      <c r="F39" s="60" t="s">
        <v>37</v>
      </c>
      <c r="G39" s="60" t="s">
        <v>11</v>
      </c>
    </row>
    <row r="40" spans="7:7">
      <c r="G40" s="60" t="s">
        <v>38</v>
      </c>
    </row>
    <row r="41" spans="6:7">
      <c r="F41" s="60" t="s">
        <v>37</v>
      </c>
      <c r="G41" s="60" t="s">
        <v>13</v>
      </c>
    </row>
    <row r="42" spans="7:7">
      <c r="G42" s="60" t="s">
        <v>38</v>
      </c>
    </row>
    <row r="44" spans="1:10">
      <c r="A44" s="60" t="s">
        <v>39</v>
      </c>
      <c r="F44" s="60" t="s">
        <v>40</v>
      </c>
      <c r="G44" s="60" t="s">
        <v>11</v>
      </c>
      <c r="I44" s="60" t="s">
        <v>17</v>
      </c>
      <c r="J44" s="60" t="s">
        <v>41</v>
      </c>
    </row>
    <row r="45" spans="7:7">
      <c r="G45" s="60" t="s">
        <v>42</v>
      </c>
    </row>
    <row r="46" spans="7:7">
      <c r="G46" s="60" t="s">
        <v>43</v>
      </c>
    </row>
    <row r="47" spans="7:7">
      <c r="G47" s="60" t="s">
        <v>44</v>
      </c>
    </row>
    <row r="48" spans="7:7">
      <c r="G48" s="60" t="s">
        <v>45</v>
      </c>
    </row>
    <row r="49" spans="7:7">
      <c r="G49" s="60" t="s">
        <v>46</v>
      </c>
    </row>
    <row r="50" spans="6:7">
      <c r="F50" s="60" t="s">
        <v>40</v>
      </c>
      <c r="G50" s="60" t="s">
        <v>13</v>
      </c>
    </row>
    <row r="51" spans="7:7">
      <c r="G51" s="60" t="s">
        <v>42</v>
      </c>
    </row>
    <row r="52" spans="7:7">
      <c r="G52" s="60" t="s">
        <v>43</v>
      </c>
    </row>
    <row r="53" spans="7:7">
      <c r="G53" s="60" t="s">
        <v>44</v>
      </c>
    </row>
    <row r="54" spans="7:7">
      <c r="G54" s="60" t="s">
        <v>45</v>
      </c>
    </row>
    <row r="55" spans="7:7">
      <c r="G55" s="60" t="s">
        <v>46</v>
      </c>
    </row>
  </sheetData>
  <sheetProtection password="EE8F" sheet="1" selectLockedCells="1"/>
  <mergeCells count="4">
    <mergeCell ref="C1:D1"/>
    <mergeCell ref="F1:G1"/>
    <mergeCell ref="I1:J1"/>
    <mergeCell ref="L1:M1"/>
  </mergeCells>
  <pageMargins left="0.75" right="0.75" top="1" bottom="1" header="0.512" footer="0.512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indexed="8"/>
  </sheetPr>
  <dimension ref="A1:O29"/>
  <sheetViews>
    <sheetView showGridLines="0" zoomScaleSheetLayoutView="60" workbookViewId="0">
      <selection activeCell="C8" sqref="C8"/>
    </sheetView>
  </sheetViews>
  <sheetFormatPr defaultColWidth="9" defaultRowHeight="18"/>
  <cols>
    <col min="1" max="1" width="10.5" customWidth="1"/>
    <col min="2" max="2" width="8.25" customWidth="1"/>
    <col min="3" max="3" width="13.25" customWidth="1"/>
    <col min="4" max="4" width="4.125" customWidth="1"/>
    <col min="5" max="5" width="5.5" customWidth="1"/>
    <col min="6" max="6" width="11.625"/>
    <col min="7" max="21" width="4.625" customWidth="1"/>
  </cols>
  <sheetData>
    <row r="1" ht="21" customHeight="1" spans="1:1">
      <c r="A1" s="1" t="s">
        <v>453</v>
      </c>
    </row>
    <row r="2" spans="1:3">
      <c r="A2" s="2" t="s">
        <v>454</v>
      </c>
      <c r="B2" s="2" t="s">
        <v>284</v>
      </c>
      <c r="C2" s="2" t="s">
        <v>285</v>
      </c>
    </row>
    <row r="3" spans="1:15">
      <c r="A3" s="3" t="s">
        <v>259</v>
      </c>
      <c r="B3" s="3" t="s">
        <v>455</v>
      </c>
      <c r="C3" s="449" t="s">
        <v>456</v>
      </c>
      <c r="G3" s="5"/>
      <c r="H3" s="6"/>
      <c r="I3" s="5"/>
      <c r="J3" s="19"/>
      <c r="K3" s="8"/>
      <c r="L3" s="20"/>
      <c r="M3" s="5"/>
      <c r="N3" s="24"/>
      <c r="O3" s="5"/>
    </row>
    <row r="4" spans="1:14">
      <c r="A4" s="3" t="s">
        <v>261</v>
      </c>
      <c r="B4" s="3" t="s">
        <v>457</v>
      </c>
      <c r="C4" s="449" t="s">
        <v>458</v>
      </c>
      <c r="F4" t="s">
        <v>459</v>
      </c>
      <c r="H4" s="7"/>
      <c r="J4" s="21"/>
      <c r="M4" s="7"/>
      <c r="N4" s="25"/>
    </row>
    <row r="5" spans="1:15">
      <c r="A5" s="3" t="s">
        <v>263</v>
      </c>
      <c r="B5" s="3" t="s">
        <v>460</v>
      </c>
      <c r="C5" s="449" t="s">
        <v>461</v>
      </c>
      <c r="G5" s="8"/>
      <c r="H5" s="9"/>
      <c r="I5" s="8"/>
      <c r="J5" s="22"/>
      <c r="K5" s="5"/>
      <c r="L5" s="23"/>
      <c r="M5" s="8"/>
      <c r="N5" s="26"/>
      <c r="O5" s="8"/>
    </row>
    <row r="6" ht="18.75" spans="1:14">
      <c r="A6" s="3" t="s">
        <v>265</v>
      </c>
      <c r="B6" s="3" t="s">
        <v>462</v>
      </c>
      <c r="C6" s="4" t="s">
        <v>463</v>
      </c>
      <c r="H6" s="10"/>
      <c r="J6" s="10"/>
      <c r="M6" s="27"/>
      <c r="N6" s="28"/>
    </row>
    <row r="7" ht="18.75" spans="1:15">
      <c r="A7" s="3" t="s">
        <v>267</v>
      </c>
      <c r="B7" s="3" t="s">
        <v>464</v>
      </c>
      <c r="C7" s="4">
        <v>12111716</v>
      </c>
      <c r="F7" t="s">
        <v>465</v>
      </c>
      <c r="G7" s="11"/>
      <c r="H7" s="12" t="str">
        <f t="shared" ref="H7:N7" si="0">H20&amp;H25</f>
        <v>G0</v>
      </c>
      <c r="I7" s="12" t="str">
        <f t="shared" si="0"/>
        <v>R5</v>
      </c>
      <c r="J7" s="12" t="str">
        <f t="shared" si="0"/>
        <v>R4</v>
      </c>
      <c r="K7" s="12" t="str">
        <f t="shared" si="0"/>
        <v>R3</v>
      </c>
      <c r="L7" s="12" t="str">
        <f t="shared" si="0"/>
        <v>R2</v>
      </c>
      <c r="M7" s="12" t="str">
        <f t="shared" si="0"/>
        <v>R1</v>
      </c>
      <c r="N7" s="12" t="str">
        <f t="shared" si="0"/>
        <v>R0</v>
      </c>
      <c r="O7" s="14"/>
    </row>
    <row r="8" ht="18.75" spans="1:14">
      <c r="A8" s="3" t="s">
        <v>269</v>
      </c>
      <c r="B8" s="3" t="s">
        <v>466</v>
      </c>
      <c r="C8" s="4" t="s">
        <v>467</v>
      </c>
      <c r="H8" s="13"/>
      <c r="I8" s="13"/>
      <c r="J8" s="13"/>
      <c r="K8" s="13"/>
      <c r="L8" s="13"/>
      <c r="M8" s="13"/>
      <c r="N8" s="13"/>
    </row>
    <row r="9" ht="18.75" spans="1:15">
      <c r="A9" s="3" t="s">
        <v>271</v>
      </c>
      <c r="B9" s="3" t="s">
        <v>468</v>
      </c>
      <c r="C9" s="449" t="s">
        <v>469</v>
      </c>
      <c r="F9" t="s">
        <v>470</v>
      </c>
      <c r="G9" s="14"/>
      <c r="H9" s="12" t="str">
        <f>H21&amp;H26</f>
        <v>B1</v>
      </c>
      <c r="I9" s="12" t="str">
        <f t="shared" ref="I9:N9" si="1">I21&amp;I26</f>
        <v>B0</v>
      </c>
      <c r="J9" s="12" t="str">
        <f t="shared" si="1"/>
        <v>G5</v>
      </c>
      <c r="K9" s="12" t="str">
        <f t="shared" si="1"/>
        <v>G4</v>
      </c>
      <c r="L9" s="12" t="str">
        <f t="shared" si="1"/>
        <v>G3</v>
      </c>
      <c r="M9" s="12" t="str">
        <f t="shared" si="1"/>
        <v>G2</v>
      </c>
      <c r="N9" s="12" t="str">
        <f t="shared" si="1"/>
        <v>G1</v>
      </c>
      <c r="O9" s="14"/>
    </row>
    <row r="10" ht="18.75" spans="8:14">
      <c r="H10" s="13"/>
      <c r="I10" s="13"/>
      <c r="J10" s="13"/>
      <c r="K10" s="13"/>
      <c r="L10" s="13"/>
      <c r="M10" s="13"/>
      <c r="N10" s="13"/>
    </row>
    <row r="11" ht="18.75" spans="6:15">
      <c r="F11" t="s">
        <v>471</v>
      </c>
      <c r="G11" s="14"/>
      <c r="H11" s="12" t="str">
        <f>H22&amp;H27</f>
        <v>DE</v>
      </c>
      <c r="I11" s="12" t="str">
        <f t="shared" ref="I11:N11" si="2">I22&amp;I27</f>
        <v>VSY</v>
      </c>
      <c r="J11" s="12" t="str">
        <f t="shared" si="2"/>
        <v>HSY</v>
      </c>
      <c r="K11" s="12" t="str">
        <f t="shared" si="2"/>
        <v>B5</v>
      </c>
      <c r="L11" s="12" t="str">
        <f t="shared" si="2"/>
        <v>B4</v>
      </c>
      <c r="M11" s="12" t="str">
        <f t="shared" si="2"/>
        <v>B3</v>
      </c>
      <c r="N11" s="12" t="str">
        <f t="shared" si="2"/>
        <v>B2</v>
      </c>
      <c r="O11" s="14"/>
    </row>
    <row r="12" ht="18.75" spans="8:14">
      <c r="H12" s="13"/>
      <c r="I12" s="13"/>
      <c r="J12" s="13"/>
      <c r="K12" s="13"/>
      <c r="L12" s="13"/>
      <c r="M12" s="13"/>
      <c r="N12" s="13"/>
    </row>
    <row r="13" ht="18.75" spans="6:15">
      <c r="F13" t="s">
        <v>472</v>
      </c>
      <c r="G13" s="14"/>
      <c r="H13" s="12" t="str">
        <f>H23&amp;H28</f>
        <v>0</v>
      </c>
      <c r="I13" s="12" t="str">
        <f t="shared" ref="I13:N13" si="3">I23&amp;I28</f>
        <v>B7</v>
      </c>
      <c r="J13" s="12" t="str">
        <f t="shared" si="3"/>
        <v>B6</v>
      </c>
      <c r="K13" s="12" t="str">
        <f t="shared" si="3"/>
        <v>G7</v>
      </c>
      <c r="L13" s="12" t="str">
        <f t="shared" si="3"/>
        <v>G6</v>
      </c>
      <c r="M13" s="12" t="str">
        <f t="shared" si="3"/>
        <v>R7</v>
      </c>
      <c r="N13" s="12" t="str">
        <f t="shared" si="3"/>
        <v>R6</v>
      </c>
      <c r="O13" s="14"/>
    </row>
    <row r="14" spans="8:14">
      <c r="H14" s="15"/>
      <c r="I14" s="15"/>
      <c r="J14" s="15"/>
      <c r="K14" s="15"/>
      <c r="L14" s="15"/>
      <c r="M14" s="15"/>
      <c r="N14" s="15"/>
    </row>
    <row r="15" spans="6:14">
      <c r="F15" s="16" t="s">
        <v>473</v>
      </c>
      <c r="G15" s="16"/>
      <c r="H15" s="17">
        <f>HEX2DEC(MID($C$4,1,2))</f>
        <v>8</v>
      </c>
      <c r="I15" s="17">
        <f>HEX2DEC(MID($C$4,3,2))</f>
        <v>5</v>
      </c>
      <c r="J15" s="17">
        <f>HEX2DEC(MID($C$4,7,2))</f>
        <v>4</v>
      </c>
      <c r="K15" s="17">
        <f>HEX2DEC(MID($C$3,1,2))</f>
        <v>3</v>
      </c>
      <c r="L15" s="17">
        <f>HEX2DEC(MID($C$3,3,2))</f>
        <v>2</v>
      </c>
      <c r="M15" s="17">
        <f>HEX2DEC(MID($C$3,5,2))</f>
        <v>1</v>
      </c>
      <c r="N15" s="17">
        <f>HEX2DEC(MID($C$3,7,2))</f>
        <v>0</v>
      </c>
    </row>
    <row r="16" spans="6:14">
      <c r="F16" s="16" t="s">
        <v>474</v>
      </c>
      <c r="G16" s="16"/>
      <c r="H16" s="17">
        <f>HEX2DEC(MID($C$7,3,2))</f>
        <v>17</v>
      </c>
      <c r="I16" s="17">
        <f>HEX2DEC(MID($C$6,1,2))</f>
        <v>16</v>
      </c>
      <c r="J16" s="17">
        <f>HEX2DEC(MID($C$6,3,2))</f>
        <v>13</v>
      </c>
      <c r="K16" s="17">
        <f>HEX2DEC(MID($C$6,5,2))</f>
        <v>12</v>
      </c>
      <c r="L16" s="17">
        <f>HEX2DEC(MID($C$6,7,2))</f>
        <v>11</v>
      </c>
      <c r="M16" s="17">
        <f>HEX2DEC(MID($C$5,5,2))</f>
        <v>10</v>
      </c>
      <c r="N16" s="17">
        <f>HEX2DEC(MID($C$5,7,2))</f>
        <v>9</v>
      </c>
    </row>
    <row r="17" spans="6:14">
      <c r="F17" s="16" t="s">
        <v>475</v>
      </c>
      <c r="G17" s="16"/>
      <c r="H17" s="17">
        <f>HEX2DEC(MID($C$9,3,2))</f>
        <v>26</v>
      </c>
      <c r="I17" s="17">
        <f>HEX2DEC(MID($C$9,5,2))</f>
        <v>25</v>
      </c>
      <c r="J17" s="17">
        <f>HEX2DEC(MID($C$9,7,2))</f>
        <v>24</v>
      </c>
      <c r="K17" s="17">
        <f>HEX2DEC(MID($C$8,3,2))</f>
        <v>21</v>
      </c>
      <c r="L17" s="17">
        <f>HEX2DEC(MID($C$8,5,2))</f>
        <v>20</v>
      </c>
      <c r="M17" s="17">
        <f>HEX2DEC(MID($C$8,7,2))</f>
        <v>19</v>
      </c>
      <c r="N17" s="17">
        <f>HEX2DEC(MID($C$7,1,2))</f>
        <v>18</v>
      </c>
    </row>
    <row r="18" spans="6:14">
      <c r="F18" s="16" t="s">
        <v>476</v>
      </c>
      <c r="G18" s="16"/>
      <c r="H18" s="17">
        <f>HEX2DEC(MID($C$8,1,2))</f>
        <v>27</v>
      </c>
      <c r="I18" s="17">
        <f>HEX2DEC(MID($C$7,5,2))</f>
        <v>23</v>
      </c>
      <c r="J18" s="17">
        <f>HEX2DEC(MID($C$7,7,2))</f>
        <v>22</v>
      </c>
      <c r="K18" s="17">
        <f>HEX2DEC(MID($C$5,1,2))</f>
        <v>15</v>
      </c>
      <c r="L18" s="17">
        <f>HEX2DEC(MID($C$5,3,2))</f>
        <v>14</v>
      </c>
      <c r="M18" s="17">
        <f>HEX2DEC(MID($C$4,5,2))</f>
        <v>7</v>
      </c>
      <c r="N18" s="17">
        <f>HEX2DEC(MID($C$9,1,2))</f>
        <v>6</v>
      </c>
    </row>
    <row r="19" spans="6:14">
      <c r="F19" s="16"/>
      <c r="G19" s="16"/>
      <c r="H19" s="16"/>
      <c r="I19" s="16"/>
      <c r="J19" s="16"/>
      <c r="K19" s="16"/>
      <c r="L19" s="16"/>
      <c r="M19" s="16"/>
      <c r="N19" s="16"/>
    </row>
    <row r="20" spans="6:14">
      <c r="F20" s="16" t="s">
        <v>477</v>
      </c>
      <c r="G20" s="16"/>
      <c r="H20" s="17" t="str">
        <f t="shared" ref="H20:N23" si="4">IF(H15&lt;8,"R",IF(H15&lt;16,"G",IF(H15&lt;24,"B",IF(H15=24,"HSY",IF(H15=25,"VSY",IF(H15=26,"DE","0"))))))</f>
        <v>G</v>
      </c>
      <c r="I20" s="17" t="str">
        <f t="shared" si="4"/>
        <v>R</v>
      </c>
      <c r="J20" s="17" t="str">
        <f t="shared" si="4"/>
        <v>R</v>
      </c>
      <c r="K20" s="17" t="str">
        <f t="shared" si="4"/>
        <v>R</v>
      </c>
      <c r="L20" s="17" t="str">
        <f t="shared" si="4"/>
        <v>R</v>
      </c>
      <c r="M20" s="17" t="str">
        <f t="shared" si="4"/>
        <v>R</v>
      </c>
      <c r="N20" s="17" t="str">
        <f t="shared" si="4"/>
        <v>R</v>
      </c>
    </row>
    <row r="21" spans="6:14">
      <c r="F21" s="16" t="s">
        <v>478</v>
      </c>
      <c r="G21" s="16"/>
      <c r="H21" s="17" t="str">
        <f t="shared" si="4"/>
        <v>B</v>
      </c>
      <c r="I21" s="17" t="str">
        <f t="shared" si="4"/>
        <v>B</v>
      </c>
      <c r="J21" s="17" t="str">
        <f t="shared" si="4"/>
        <v>G</v>
      </c>
      <c r="K21" s="17" t="str">
        <f t="shared" si="4"/>
        <v>G</v>
      </c>
      <c r="L21" s="17" t="str">
        <f t="shared" si="4"/>
        <v>G</v>
      </c>
      <c r="M21" s="17" t="str">
        <f t="shared" si="4"/>
        <v>G</v>
      </c>
      <c r="N21" s="17" t="str">
        <f t="shared" si="4"/>
        <v>G</v>
      </c>
    </row>
    <row r="22" spans="6:14">
      <c r="F22" s="16" t="s">
        <v>479</v>
      </c>
      <c r="G22" s="16"/>
      <c r="H22" s="17" t="str">
        <f t="shared" si="4"/>
        <v>DE</v>
      </c>
      <c r="I22" s="17" t="str">
        <f t="shared" si="4"/>
        <v>VSY</v>
      </c>
      <c r="J22" s="17" t="str">
        <f t="shared" si="4"/>
        <v>HSY</v>
      </c>
      <c r="K22" s="17" t="str">
        <f t="shared" si="4"/>
        <v>B</v>
      </c>
      <c r="L22" s="17" t="str">
        <f t="shared" si="4"/>
        <v>B</v>
      </c>
      <c r="M22" s="17" t="str">
        <f t="shared" si="4"/>
        <v>B</v>
      </c>
      <c r="N22" s="17" t="str">
        <f t="shared" si="4"/>
        <v>B</v>
      </c>
    </row>
    <row r="23" spans="6:14">
      <c r="F23" s="16" t="s">
        <v>480</v>
      </c>
      <c r="G23" s="16"/>
      <c r="H23" s="17" t="str">
        <f t="shared" si="4"/>
        <v>0</v>
      </c>
      <c r="I23" s="17" t="str">
        <f t="shared" si="4"/>
        <v>B</v>
      </c>
      <c r="J23" s="17" t="str">
        <f t="shared" si="4"/>
        <v>B</v>
      </c>
      <c r="K23" s="17" t="str">
        <f t="shared" si="4"/>
        <v>G</v>
      </c>
      <c r="L23" s="17" t="str">
        <f t="shared" si="4"/>
        <v>G</v>
      </c>
      <c r="M23" s="17" t="str">
        <f t="shared" si="4"/>
        <v>R</v>
      </c>
      <c r="N23" s="17" t="str">
        <f t="shared" si="4"/>
        <v>R</v>
      </c>
    </row>
    <row r="24" spans="6:14">
      <c r="F24" s="16"/>
      <c r="G24" s="16"/>
      <c r="H24" s="18"/>
      <c r="I24" s="18"/>
      <c r="J24" s="18"/>
      <c r="K24" s="18"/>
      <c r="L24" s="18"/>
      <c r="M24" s="18"/>
      <c r="N24" s="18"/>
    </row>
    <row r="25" spans="6:14">
      <c r="F25" s="16" t="s">
        <v>481</v>
      </c>
      <c r="G25" s="16"/>
      <c r="H25" s="17">
        <f t="shared" ref="H25:N28" si="5">IF(H15&gt;23,"",MOD(H15,8))</f>
        <v>0</v>
      </c>
      <c r="I25" s="17">
        <f t="shared" si="5"/>
        <v>5</v>
      </c>
      <c r="J25" s="17">
        <f t="shared" si="5"/>
        <v>4</v>
      </c>
      <c r="K25" s="17">
        <f t="shared" si="5"/>
        <v>3</v>
      </c>
      <c r="L25" s="17">
        <f t="shared" si="5"/>
        <v>2</v>
      </c>
      <c r="M25" s="17">
        <f t="shared" si="5"/>
        <v>1</v>
      </c>
      <c r="N25" s="17">
        <f t="shared" si="5"/>
        <v>0</v>
      </c>
    </row>
    <row r="26" spans="6:14">
      <c r="F26" s="16" t="s">
        <v>482</v>
      </c>
      <c r="G26" s="16"/>
      <c r="H26" s="17">
        <f t="shared" si="5"/>
        <v>1</v>
      </c>
      <c r="I26" s="17">
        <f t="shared" si="5"/>
        <v>0</v>
      </c>
      <c r="J26" s="17">
        <f t="shared" si="5"/>
        <v>5</v>
      </c>
      <c r="K26" s="17">
        <f t="shared" si="5"/>
        <v>4</v>
      </c>
      <c r="L26" s="17">
        <f t="shared" si="5"/>
        <v>3</v>
      </c>
      <c r="M26" s="17">
        <f t="shared" si="5"/>
        <v>2</v>
      </c>
      <c r="N26" s="17">
        <f t="shared" si="5"/>
        <v>1</v>
      </c>
    </row>
    <row r="27" spans="6:14">
      <c r="F27" s="16" t="s">
        <v>483</v>
      </c>
      <c r="G27" s="16"/>
      <c r="H27" s="17" t="str">
        <f t="shared" si="5"/>
        <v/>
      </c>
      <c r="I27" s="17" t="str">
        <f t="shared" si="5"/>
        <v/>
      </c>
      <c r="J27" s="17" t="str">
        <f t="shared" si="5"/>
        <v/>
      </c>
      <c r="K27" s="17">
        <f t="shared" si="5"/>
        <v>5</v>
      </c>
      <c r="L27" s="17">
        <f t="shared" si="5"/>
        <v>4</v>
      </c>
      <c r="M27" s="17">
        <f t="shared" si="5"/>
        <v>3</v>
      </c>
      <c r="N27" s="17">
        <f t="shared" si="5"/>
        <v>2</v>
      </c>
    </row>
    <row r="28" spans="6:14">
      <c r="F28" s="16" t="s">
        <v>484</v>
      </c>
      <c r="G28" s="16"/>
      <c r="H28" s="17" t="str">
        <f t="shared" si="5"/>
        <v/>
      </c>
      <c r="I28" s="17">
        <f t="shared" si="5"/>
        <v>7</v>
      </c>
      <c r="J28" s="17">
        <f t="shared" si="5"/>
        <v>6</v>
      </c>
      <c r="K28" s="17">
        <f t="shared" si="5"/>
        <v>7</v>
      </c>
      <c r="L28" s="17">
        <f t="shared" si="5"/>
        <v>6</v>
      </c>
      <c r="M28" s="17">
        <f t="shared" si="5"/>
        <v>7</v>
      </c>
      <c r="N28" s="17">
        <f t="shared" si="5"/>
        <v>6</v>
      </c>
    </row>
    <row r="29" spans="6:14">
      <c r="F29" s="16"/>
      <c r="G29" s="16"/>
      <c r="H29" s="16"/>
      <c r="I29" s="16"/>
      <c r="J29" s="16"/>
      <c r="K29" s="16"/>
      <c r="L29" s="16"/>
      <c r="M29" s="16"/>
      <c r="N29" s="16"/>
    </row>
  </sheetData>
  <sheetProtection password="EE8F" sheet="1" selectLockedCells="1" objects="1" scenarios="1"/>
  <conditionalFormatting sqref="H7:N7">
    <cfRule type="expression" dxfId="2" priority="1" stopIfTrue="1">
      <formula>H20="R"</formula>
    </cfRule>
    <cfRule type="expression" dxfId="3" priority="2" stopIfTrue="1">
      <formula>H20="G"</formula>
    </cfRule>
    <cfRule type="expression" dxfId="4" priority="3" stopIfTrue="1">
      <formula>H20="B"</formula>
    </cfRule>
  </conditionalFormatting>
  <conditionalFormatting sqref="H9:N9">
    <cfRule type="expression" dxfId="2" priority="4" stopIfTrue="1">
      <formula>H21="R"</formula>
    </cfRule>
    <cfRule type="expression" dxfId="3" priority="5" stopIfTrue="1">
      <formula>H21="G"</formula>
    </cfRule>
    <cfRule type="expression" dxfId="4" priority="6" stopIfTrue="1">
      <formula>H21="B"</formula>
    </cfRule>
  </conditionalFormatting>
  <conditionalFormatting sqref="H11:N11">
    <cfRule type="expression" dxfId="2" priority="7" stopIfTrue="1">
      <formula>H22="R"</formula>
    </cfRule>
    <cfRule type="expression" dxfId="3" priority="8" stopIfTrue="1">
      <formula>H22="G"</formula>
    </cfRule>
    <cfRule type="expression" dxfId="4" priority="9" stopIfTrue="1">
      <formula>H22="B"</formula>
    </cfRule>
  </conditionalFormatting>
  <conditionalFormatting sqref="H13:N13">
    <cfRule type="expression" dxfId="2" priority="10" stopIfTrue="1">
      <formula>H23="R"</formula>
    </cfRule>
    <cfRule type="expression" dxfId="3" priority="11" stopIfTrue="1">
      <formula>H23="G"</formula>
    </cfRule>
    <cfRule type="expression" dxfId="4" priority="12" stopIfTrue="1">
      <formula>H23="B"</formula>
    </cfRule>
  </conditionalFormatting>
  <pageMargins left="0.75" right="0.75" top="1" bottom="1" header="0.512" footer="0.51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indexed="10"/>
  </sheetPr>
  <dimension ref="A1:B30"/>
  <sheetViews>
    <sheetView showGridLines="0" zoomScaleSheetLayoutView="60" topLeftCell="B1" workbookViewId="0">
      <selection activeCell="B27" sqref="B27"/>
    </sheetView>
  </sheetViews>
  <sheetFormatPr defaultColWidth="9" defaultRowHeight="14.25" outlineLevelCol="1"/>
  <cols>
    <col min="1" max="1" width="2.5" style="60"/>
    <col min="2" max="2" width="144.125" style="60"/>
    <col min="3" max="16384" width="9" style="60"/>
  </cols>
  <sheetData>
    <row r="1" ht="18" spans="2:2">
      <c r="B1" s="29" t="s">
        <v>47</v>
      </c>
    </row>
    <row r="2" ht="13.5" customHeight="1" spans="1:2">
      <c r="A2" s="60">
        <v>1</v>
      </c>
      <c r="B2" s="68" t="s">
        <v>48</v>
      </c>
    </row>
    <row r="3" ht="12" customHeight="1" spans="2:2">
      <c r="B3" s="29"/>
    </row>
    <row r="4" s="68" customFormat="1" ht="12.75" spans="1:2">
      <c r="A4" s="68">
        <v>2</v>
      </c>
      <c r="B4" s="429" t="s">
        <v>49</v>
      </c>
    </row>
    <row r="5" s="68" customFormat="1" ht="12.75" spans="2:2">
      <c r="B5" s="429"/>
    </row>
    <row r="6" s="68" customFormat="1" ht="12.75" spans="1:2">
      <c r="A6" s="68">
        <v>3</v>
      </c>
      <c r="B6" s="429" t="s">
        <v>50</v>
      </c>
    </row>
    <row r="7" s="68" customFormat="1" ht="12.75" spans="2:2">
      <c r="B7" s="68" t="s">
        <v>51</v>
      </c>
    </row>
    <row r="8" s="68" customFormat="1" ht="12.75"/>
    <row r="9" s="68" customFormat="1" ht="12.75" spans="1:2">
      <c r="A9" s="68">
        <v>4</v>
      </c>
      <c r="B9" s="68" t="s">
        <v>52</v>
      </c>
    </row>
    <row r="10" s="68" customFormat="1" ht="12.75" spans="2:2">
      <c r="B10" s="68" t="s">
        <v>53</v>
      </c>
    </row>
    <row r="11" s="68" customFormat="1" ht="12.75" spans="2:2">
      <c r="B11" s="68" t="s">
        <v>54</v>
      </c>
    </row>
    <row r="12" s="68" customFormat="1" ht="12.75" spans="2:2">
      <c r="B12" s="68" t="s">
        <v>55</v>
      </c>
    </row>
    <row r="13" s="68" customFormat="1" ht="12.75" spans="2:2">
      <c r="B13" s="68" t="s">
        <v>56</v>
      </c>
    </row>
    <row r="14" s="68" customFormat="1" ht="12.75" spans="2:2">
      <c r="B14" s="68" t="s">
        <v>57</v>
      </c>
    </row>
    <row r="15" s="68" customFormat="1" ht="12.75" spans="2:2">
      <c r="B15" s="68" t="s">
        <v>58</v>
      </c>
    </row>
    <row r="16" s="68" customFormat="1" ht="12.75"/>
    <row r="17" s="68" customFormat="1" ht="12.75" spans="1:2">
      <c r="A17" s="68">
        <v>5</v>
      </c>
      <c r="B17" s="68" t="s">
        <v>59</v>
      </c>
    </row>
    <row r="18" s="68" customFormat="1" ht="12.75" spans="2:2">
      <c r="B18" s="68" t="s">
        <v>60</v>
      </c>
    </row>
    <row r="19" s="68" customFormat="1" ht="12.75" spans="2:2">
      <c r="B19" s="68" t="s">
        <v>61</v>
      </c>
    </row>
    <row r="20" s="68" customFormat="1" ht="12.75"/>
    <row r="21" s="68" customFormat="1" ht="12.75" spans="1:2">
      <c r="A21" s="68">
        <v>6</v>
      </c>
      <c r="B21" s="68" t="s">
        <v>62</v>
      </c>
    </row>
    <row r="22" s="68" customFormat="1" ht="12.75"/>
    <row r="23" s="68" customFormat="1" ht="12.75" spans="1:2">
      <c r="A23" s="68">
        <v>7</v>
      </c>
      <c r="B23" s="68" t="s">
        <v>63</v>
      </c>
    </row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</sheetData>
  <sheetProtection password="EE8F" sheet="1" selectLockedCells="1"/>
  <pageMargins left="0.75" right="0.75" top="1" bottom="1" header="0.512" footer="0.51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indexed="42"/>
  </sheetPr>
  <dimension ref="A1:CV71"/>
  <sheetViews>
    <sheetView showGridLines="0" zoomScale="70" zoomScaleNormal="70" zoomScaleSheetLayoutView="60" workbookViewId="0">
      <selection activeCell="CK1" sqref="CK1"/>
    </sheetView>
  </sheetViews>
  <sheetFormatPr defaultColWidth="9" defaultRowHeight="15" customHeight="1"/>
  <cols>
    <col min="1" max="1" width="5" style="60" customWidth="1"/>
    <col min="2" max="2" width="6.625" style="60" customWidth="1"/>
    <col min="3" max="4" width="1.625" style="60" customWidth="1"/>
    <col min="5" max="5" width="4" style="60" customWidth="1"/>
    <col min="6" max="19" width="1.625" style="60" customWidth="1"/>
    <col min="20" max="20" width="3" style="60" customWidth="1"/>
    <col min="21" max="21" width="1.625" style="60" customWidth="1"/>
    <col min="22" max="22" width="1.75" style="60" customWidth="1"/>
    <col min="23" max="85" width="1.625" style="60" customWidth="1"/>
    <col min="86" max="86" width="9" style="60"/>
    <col min="87" max="87" width="18.625" style="60" customWidth="1"/>
    <col min="88" max="88" width="12.875" style="60" customWidth="1"/>
    <col min="89" max="89" width="12" style="60"/>
    <col min="90" max="90" width="12" style="60" customWidth="1"/>
    <col min="91" max="91" width="28.25" style="60" customWidth="1"/>
    <col min="92" max="92" width="9" style="60"/>
    <col min="93" max="93" width="29.125" style="60" customWidth="1"/>
    <col min="94" max="94" width="9.25" style="60"/>
    <col min="95" max="95" width="11.625" style="60" customWidth="1"/>
    <col min="96" max="96" width="11.375" style="60" customWidth="1"/>
    <col min="97" max="97" width="10.875" style="60" customWidth="1"/>
    <col min="98" max="16384" width="9" style="60"/>
  </cols>
  <sheetData>
    <row r="1" ht="16.5" customHeight="1" spans="1:89">
      <c r="A1" s="29" t="s">
        <v>40</v>
      </c>
      <c r="CI1" s="61" t="s">
        <v>64</v>
      </c>
      <c r="CK1" s="220" t="s">
        <v>65</v>
      </c>
    </row>
    <row r="2" customHeight="1" spans="29:98">
      <c r="AC2" s="60" t="s">
        <v>66</v>
      </c>
      <c r="AH2" s="60" t="s">
        <v>67</v>
      </c>
      <c r="AX2" s="60" t="s">
        <v>68</v>
      </c>
      <c r="BS2" s="60" t="s">
        <v>69</v>
      </c>
      <c r="CI2" s="350" t="s">
        <v>70</v>
      </c>
      <c r="CJ2" s="351"/>
      <c r="CK2" s="351"/>
      <c r="CL2" s="376" t="s">
        <v>71</v>
      </c>
      <c r="CM2" s="222" t="s">
        <v>72</v>
      </c>
      <c r="CN2" s="377"/>
      <c r="CO2" s="407" t="s">
        <v>73</v>
      </c>
      <c r="CP2" s="399" t="s">
        <v>71</v>
      </c>
      <c r="CQ2" s="399" t="s">
        <v>74</v>
      </c>
      <c r="CR2" s="399" t="s">
        <v>75</v>
      </c>
      <c r="CS2" s="399" t="s">
        <v>76</v>
      </c>
      <c r="CT2" s="427" t="s">
        <v>77</v>
      </c>
    </row>
    <row r="3" customHeight="1" spans="28:98">
      <c r="AB3" s="60" t="s">
        <v>78</v>
      </c>
      <c r="AH3" s="60" t="s">
        <v>78</v>
      </c>
      <c r="AX3" s="60" t="s">
        <v>78</v>
      </c>
      <c r="BS3" s="60" t="s">
        <v>78</v>
      </c>
      <c r="CI3" s="352" t="s">
        <v>79</v>
      </c>
      <c r="CJ3" s="353">
        <v>207</v>
      </c>
      <c r="CK3" s="378" t="s">
        <v>80</v>
      </c>
      <c r="CL3" s="225" t="str">
        <f>IF(CJ3&gt;=37.5,IF(CK1="TC358764/65",IF(CJ3&lt;=400,"OK","NG"),IF(CJ3&lt;=500,"OK","NG")),"NG")</f>
        <v>OK</v>
      </c>
      <c r="CM3" s="352" t="s">
        <v>81</v>
      </c>
      <c r="CN3" s="353">
        <v>50</v>
      </c>
      <c r="CO3" s="97" t="s">
        <v>80</v>
      </c>
      <c r="CP3" s="97"/>
      <c r="CQ3" s="97"/>
      <c r="CR3" s="97"/>
      <c r="CS3" s="97"/>
      <c r="CT3" s="379"/>
    </row>
    <row r="4" customHeight="1" spans="21:98">
      <c r="U4" s="60" t="s">
        <v>82</v>
      </c>
      <c r="AC4" s="150">
        <v>28</v>
      </c>
      <c r="AD4" s="151"/>
      <c r="AE4" s="151"/>
      <c r="AF4" s="152"/>
      <c r="AH4" s="150">
        <v>50</v>
      </c>
      <c r="AI4" s="151"/>
      <c r="AJ4" s="151"/>
      <c r="AK4" s="152"/>
      <c r="AX4" s="150">
        <v>1280</v>
      </c>
      <c r="AY4" s="151"/>
      <c r="AZ4" s="151"/>
      <c r="BA4" s="152"/>
      <c r="BS4" s="150">
        <v>50</v>
      </c>
      <c r="BT4" s="151"/>
      <c r="BU4" s="151"/>
      <c r="BV4" s="152"/>
      <c r="CI4" s="352" t="s">
        <v>83</v>
      </c>
      <c r="CJ4" s="354">
        <f>CJ3/4</f>
        <v>51.75</v>
      </c>
      <c r="CK4" s="378" t="s">
        <v>80</v>
      </c>
      <c r="CL4" s="379"/>
      <c r="CM4" s="352" t="s">
        <v>84</v>
      </c>
      <c r="CN4" s="227">
        <v>1</v>
      </c>
      <c r="CO4" s="97" t="s">
        <v>85</v>
      </c>
      <c r="CP4" s="408"/>
      <c r="CQ4" s="380">
        <f>IF(CN4=2,1*1024,IF(CN4=4,2*1024,0))</f>
        <v>0</v>
      </c>
      <c r="CR4" s="97"/>
      <c r="CS4" s="97"/>
      <c r="CT4" s="379"/>
    </row>
    <row r="5" customHeight="1" spans="21:100">
      <c r="U5" s="147" t="s">
        <v>86</v>
      </c>
      <c r="V5" s="148"/>
      <c r="W5" s="148"/>
      <c r="X5" s="149"/>
      <c r="Y5" s="296">
        <f>IF(U5="H",131072,0)</f>
        <v>0</v>
      </c>
      <c r="AC5" s="78"/>
      <c r="AF5" s="80"/>
      <c r="AG5" s="78"/>
      <c r="AL5" s="78"/>
      <c r="BN5" s="78"/>
      <c r="CB5" s="78"/>
      <c r="CI5" s="352" t="s">
        <v>87</v>
      </c>
      <c r="CJ5" s="194">
        <v>4</v>
      </c>
      <c r="CK5" s="97" t="s">
        <v>88</v>
      </c>
      <c r="CL5" s="379"/>
      <c r="CM5" s="352" t="s">
        <v>89</v>
      </c>
      <c r="CN5" s="227">
        <v>3</v>
      </c>
      <c r="CO5" s="14" t="s">
        <v>90</v>
      </c>
      <c r="CP5" s="268" t="str">
        <f>IF(CK1="TC358764/65",CU5,CV5)</f>
        <v>OK</v>
      </c>
      <c r="CQ5" s="409">
        <f>IF(CN5=16,0,CN5*2^4)</f>
        <v>48</v>
      </c>
      <c r="CR5" s="270">
        <f>IF(CN5=3,0*2^8,IF(CN5=4,1*2^8,IF(CN5=6,2*2^8,IF(CN5=12,3*2^8,0))))</f>
        <v>0</v>
      </c>
      <c r="CS5" s="97"/>
      <c r="CT5" s="379"/>
      <c r="CU5" s="186" t="str">
        <f>IF(CN5=3,"OK",IF(CN5=4,"OK",IF(CN5=6,"OK",IF(CN5=12,"OK","NG"))))</f>
        <v>OK</v>
      </c>
      <c r="CV5" s="186" t="str">
        <f>IF(CN5&gt;0,IF(CN5&lt;17,"OK","NG"),"NG")</f>
        <v>OK</v>
      </c>
    </row>
    <row r="6" customHeight="1" spans="17:100">
      <c r="Q6" s="60" t="s">
        <v>91</v>
      </c>
      <c r="U6" s="80"/>
      <c r="V6" s="80"/>
      <c r="W6" s="80"/>
      <c r="X6" s="80"/>
      <c r="Y6" s="79"/>
      <c r="Z6" s="79"/>
      <c r="AA6" s="79"/>
      <c r="AB6" s="300"/>
      <c r="AC6" s="326"/>
      <c r="AD6" s="74"/>
      <c r="AE6" s="74"/>
      <c r="AF6" s="302"/>
      <c r="AG6" s="79"/>
      <c r="AH6" s="79"/>
      <c r="AI6" s="79"/>
      <c r="AJ6" s="79"/>
      <c r="AK6" s="79"/>
      <c r="AL6" s="88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88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326"/>
      <c r="CC6" s="74"/>
      <c r="CD6" s="302"/>
      <c r="CE6" s="79"/>
      <c r="CF6" s="79"/>
      <c r="CI6" s="355" t="s">
        <v>92</v>
      </c>
      <c r="CJ6" s="196" t="s">
        <v>93</v>
      </c>
      <c r="CK6" s="380">
        <f>IF(CJ6="RGB565",16,IF(CJ6="pRGB666",18,24))</f>
        <v>24</v>
      </c>
      <c r="CL6" s="379"/>
      <c r="CM6" s="355" t="s">
        <v>94</v>
      </c>
      <c r="CN6" s="371">
        <f>IF(CN7="DSI",CJ3/CN4/CN5,CN3)</f>
        <v>69</v>
      </c>
      <c r="CO6" s="97" t="s">
        <v>80</v>
      </c>
      <c r="CP6" s="268" t="str">
        <f>IF(CN6&gt;CS6,"NG","OK")</f>
        <v>OK</v>
      </c>
      <c r="CQ6" s="410">
        <f>IF(CN6&gt;=60,6,IF(CN6&gt;=30,45,91))</f>
        <v>6</v>
      </c>
      <c r="CR6" s="411">
        <f>IF(CN11="Single",CN6,CN6*2)</f>
        <v>69</v>
      </c>
      <c r="CS6" s="97">
        <f>IF(CK1="TC358764/65",85,135)</f>
        <v>135</v>
      </c>
      <c r="CT6" s="379"/>
      <c r="CU6" s="186"/>
      <c r="CV6" s="186"/>
    </row>
    <row r="7" customHeight="1" spans="29:98">
      <c r="AC7" s="88"/>
      <c r="AL7" s="78"/>
      <c r="BN7" s="78"/>
      <c r="CI7" s="355" t="s">
        <v>95</v>
      </c>
      <c r="CJ7" s="196" t="s">
        <v>96</v>
      </c>
      <c r="CK7" s="381">
        <f>CJ3*2*CJ5/CK6</f>
        <v>69</v>
      </c>
      <c r="CL7" s="379"/>
      <c r="CM7" s="355" t="s">
        <v>97</v>
      </c>
      <c r="CN7" s="231" t="s">
        <v>98</v>
      </c>
      <c r="CO7" s="97"/>
      <c r="CP7" s="412"/>
      <c r="CQ7" s="410"/>
      <c r="CR7" s="97"/>
      <c r="CS7" s="97"/>
      <c r="CT7" s="379"/>
    </row>
    <row r="8" customHeight="1" spans="13:98">
      <c r="M8" s="295" t="s">
        <v>99</v>
      </c>
      <c r="U8" s="60" t="s">
        <v>82</v>
      </c>
      <c r="AC8" s="78"/>
      <c r="AL8" s="318"/>
      <c r="BN8" s="78"/>
      <c r="CI8" s="355" t="s">
        <v>100</v>
      </c>
      <c r="CJ8" s="353">
        <v>80.825</v>
      </c>
      <c r="CK8" s="378" t="s">
        <v>80</v>
      </c>
      <c r="CL8" s="379"/>
      <c r="CM8" s="355" t="s">
        <v>101</v>
      </c>
      <c r="CN8" s="382" t="s">
        <v>102</v>
      </c>
      <c r="CO8" s="97"/>
      <c r="CP8" s="412"/>
      <c r="CQ8" s="413">
        <f>IF(CN8="Frame",16,0)</f>
        <v>0</v>
      </c>
      <c r="CR8" s="414">
        <f>IF(CN8="Frame",1,IF(CJ9="SYNC_EVENT",1,0))</f>
        <v>0</v>
      </c>
      <c r="CS8" s="97"/>
      <c r="CT8" s="379"/>
    </row>
    <row r="9" customHeight="1" spans="17:98">
      <c r="Q9" s="60" t="s">
        <v>103</v>
      </c>
      <c r="U9" s="147" t="s">
        <v>104</v>
      </c>
      <c r="V9" s="148"/>
      <c r="W9" s="148"/>
      <c r="X9" s="149"/>
      <c r="Y9" s="314">
        <f>IF(U9="L",262144,0)</f>
        <v>0</v>
      </c>
      <c r="Z9" s="74"/>
      <c r="AA9" s="74"/>
      <c r="AB9" s="74"/>
      <c r="AC9" s="318"/>
      <c r="AD9" s="74"/>
      <c r="AE9" s="74"/>
      <c r="AF9" s="74"/>
      <c r="AG9" s="74"/>
      <c r="AH9" s="74"/>
      <c r="AI9" s="74"/>
      <c r="AJ9" s="74"/>
      <c r="AK9" s="302"/>
      <c r="AL9" s="330"/>
      <c r="AM9" s="330"/>
      <c r="AN9" s="330"/>
      <c r="AO9" s="330"/>
      <c r="AP9" s="330"/>
      <c r="AQ9" s="330"/>
      <c r="AR9" s="330"/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0"/>
      <c r="BG9" s="330"/>
      <c r="BH9" s="330"/>
      <c r="BI9" s="330"/>
      <c r="BJ9" s="330"/>
      <c r="BK9" s="330"/>
      <c r="BL9" s="330"/>
      <c r="BM9" s="341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I9" s="355" t="s">
        <v>105</v>
      </c>
      <c r="CJ9" s="356" t="s">
        <v>106</v>
      </c>
      <c r="CK9" s="97"/>
      <c r="CL9" s="383">
        <f>IF(CJ9="SYNC_EVENT",32,0)</f>
        <v>0</v>
      </c>
      <c r="CM9" s="352" t="s">
        <v>107</v>
      </c>
      <c r="CN9" s="231" t="s">
        <v>108</v>
      </c>
      <c r="CO9" s="412"/>
      <c r="CP9" s="412"/>
      <c r="CQ9" s="380">
        <f>IF(CN9="RGB888",256,0)</f>
        <v>0</v>
      </c>
      <c r="CR9" s="97"/>
      <c r="CS9" s="97"/>
      <c r="CT9" s="379"/>
    </row>
    <row r="10" customHeight="1" spans="29:98">
      <c r="AC10" s="78"/>
      <c r="CF10" s="79"/>
      <c r="CI10" s="357" t="s">
        <v>109</v>
      </c>
      <c r="CJ10" s="353">
        <v>74.074</v>
      </c>
      <c r="CK10" s="378" t="s">
        <v>110</v>
      </c>
      <c r="CL10" s="225" t="str">
        <f>IF(CJ10&lt;50,"NG","OK")</f>
        <v>OK</v>
      </c>
      <c r="CM10" s="352" t="s">
        <v>111</v>
      </c>
      <c r="CN10" s="231" t="s">
        <v>112</v>
      </c>
      <c r="CO10" s="97"/>
      <c r="CP10" s="412"/>
      <c r="CQ10" s="380">
        <f>IF(CN10="ON",1,0)</f>
        <v>0</v>
      </c>
      <c r="CR10" s="97"/>
      <c r="CS10" s="97"/>
      <c r="CT10" s="379"/>
    </row>
    <row r="11" customHeight="1" spans="21:98">
      <c r="U11" s="60" t="s">
        <v>113</v>
      </c>
      <c r="Z11" s="78"/>
      <c r="AC11" s="78"/>
      <c r="CI11" s="357" t="s">
        <v>114</v>
      </c>
      <c r="CJ11" s="353">
        <v>60.947</v>
      </c>
      <c r="CK11" s="97" t="s">
        <v>110</v>
      </c>
      <c r="CL11" s="236" t="str">
        <f>IF(CJ11&lt;CK14,"NG",IF(CJ11&gt;CL14,"NG","OK"))</f>
        <v>OK</v>
      </c>
      <c r="CM11" s="355" t="s">
        <v>115</v>
      </c>
      <c r="CN11" s="231" t="s">
        <v>116</v>
      </c>
      <c r="CO11" s="97"/>
      <c r="CP11" s="412"/>
      <c r="CQ11" s="380">
        <f>IF(CN11="Dual",1*2,0)</f>
        <v>0</v>
      </c>
      <c r="CR11" s="97"/>
      <c r="CS11" s="97"/>
      <c r="CT11" s="379"/>
    </row>
    <row r="12" customHeight="1" spans="20:99">
      <c r="T12" s="60" t="s">
        <v>78</v>
      </c>
      <c r="Z12" s="78"/>
      <c r="AC12" s="78"/>
      <c r="CI12" s="358" t="s">
        <v>117</v>
      </c>
      <c r="CJ12" s="353">
        <v>191.98</v>
      </c>
      <c r="CK12" s="365" t="s">
        <v>110</v>
      </c>
      <c r="CL12" s="384" t="str">
        <f>IF(CJ11+CJ12&gt;=CK15,"OK","NG")</f>
        <v>OK</v>
      </c>
      <c r="CM12" s="378" t="s">
        <v>118</v>
      </c>
      <c r="CN12" s="231" t="s">
        <v>119</v>
      </c>
      <c r="CO12" s="97"/>
      <c r="CP12" s="97"/>
      <c r="CQ12" s="380">
        <f>IF(CN12="Reduced",1024,0)</f>
        <v>0</v>
      </c>
      <c r="CR12" s="97"/>
      <c r="CS12" s="97"/>
      <c r="CT12" s="379"/>
      <c r="CU12" s="296">
        <f>CQ6+CQ12</f>
        <v>6</v>
      </c>
    </row>
    <row r="13" customHeight="1" spans="21:98">
      <c r="U13" s="150">
        <v>63</v>
      </c>
      <c r="V13" s="151"/>
      <c r="W13" s="151"/>
      <c r="X13" s="152"/>
      <c r="Y13" s="296">
        <f>U13*1048576</f>
        <v>66060288</v>
      </c>
      <c r="Z13" s="78"/>
      <c r="CI13" s="359"/>
      <c r="CJ13" s="80"/>
      <c r="CK13" s="385" t="s">
        <v>75</v>
      </c>
      <c r="CL13" s="386" t="s">
        <v>76</v>
      </c>
      <c r="CM13" s="355" t="s">
        <v>120</v>
      </c>
      <c r="CN13" s="239">
        <f>ROUNDUP(CJ10/(1/CJ4*1000),0)-1</f>
        <v>3</v>
      </c>
      <c r="CO13" s="97"/>
      <c r="CP13" s="415" t="str">
        <f>IF(CQ13&gt;=CR13,IF(CQ13&lt;=CS13,"OK","NG"),"NG")</f>
        <v>OK</v>
      </c>
      <c r="CQ13" s="416">
        <f>CN13*1/CJ4*1000</f>
        <v>57.9710144927536</v>
      </c>
      <c r="CR13" s="417">
        <f>CJ10*2/3</f>
        <v>49.3826666666667</v>
      </c>
      <c r="CS13" s="417">
        <f>CJ10*3/2</f>
        <v>111.111</v>
      </c>
      <c r="CT13" s="379" t="s">
        <v>110</v>
      </c>
    </row>
    <row r="14" customHeight="1" spans="26:98">
      <c r="Z14" s="78"/>
      <c r="CI14" s="360" t="s">
        <v>114</v>
      </c>
      <c r="CJ14" s="361" t="s">
        <v>110</v>
      </c>
      <c r="CK14" s="240">
        <f>40+4*1/(CJ3*2)*1000</f>
        <v>49.6618357487923</v>
      </c>
      <c r="CL14" s="241">
        <f>85+6*1/(CJ3*2)*1000</f>
        <v>99.4927536231884</v>
      </c>
      <c r="CM14" s="387" t="s">
        <v>121</v>
      </c>
      <c r="CN14" s="388">
        <f>ROUNDUP((CJ11+CJ12/2)/(1/CJ4*1000),0)-5</f>
        <v>4</v>
      </c>
      <c r="CO14" s="97"/>
      <c r="CP14" s="415" t="str">
        <f>IF(CQ14&gt;=CR14,IF(CQ14&lt;=CS14,"OK","NG"),"NG")</f>
        <v>OK</v>
      </c>
      <c r="CQ14" s="418">
        <f>(CN14+4)*1/CJ4*1000</f>
        <v>154.589371980676</v>
      </c>
      <c r="CR14" s="97">
        <f>85+6*1/(CJ3*2)*1000</f>
        <v>99.4927536231884</v>
      </c>
      <c r="CS14" s="97">
        <f>CJ11+CJ12</f>
        <v>252.927</v>
      </c>
      <c r="CT14" s="379" t="s">
        <v>110</v>
      </c>
    </row>
    <row r="15" customHeight="1" spans="26:98">
      <c r="Z15" s="78" t="s">
        <v>122</v>
      </c>
      <c r="AF15" s="60" t="s">
        <v>123</v>
      </c>
      <c r="AT15" s="60" t="s">
        <v>124</v>
      </c>
      <c r="BN15" s="60" t="s">
        <v>125</v>
      </c>
      <c r="CI15" s="362" t="s">
        <v>114</v>
      </c>
      <c r="CJ15" s="363" t="s">
        <v>110</v>
      </c>
      <c r="CK15" s="243">
        <f>145+4*1/(CJ3*2)*1000</f>
        <v>154.661835748792</v>
      </c>
      <c r="CL15" s="244"/>
      <c r="CM15" s="389"/>
      <c r="CN15" s="390"/>
      <c r="CO15" s="97"/>
      <c r="CP15" s="415" t="str">
        <f>IF(CQ15&gt;=CR15,IF(CQ15&lt;=CS15,"OK","NG"),"NG")</f>
        <v>OK</v>
      </c>
      <c r="CQ15" s="300">
        <f>(CN14+5)*1/CJ4*1000</f>
        <v>173.913043478261</v>
      </c>
      <c r="CR15" s="97">
        <f>85+6*1/(CJ3*2)*1000</f>
        <v>99.4927536231884</v>
      </c>
      <c r="CS15" s="97">
        <f>CJ11+CJ12</f>
        <v>252.927</v>
      </c>
      <c r="CT15" s="379" t="s">
        <v>110</v>
      </c>
    </row>
    <row r="16" customHeight="1" spans="26:98">
      <c r="Z16" s="315" t="str">
        <f>IF(CJ7="H-PCLK","(*H-PCLK)","  (ns)")</f>
        <v>  (ns)</v>
      </c>
      <c r="AG16" s="60" t="str">
        <f>IF(CJ7="H-PCLK","(*H-PCLK)","(ns)")</f>
        <v>(ns)</v>
      </c>
      <c r="AS16" s="60" t="str">
        <f>IF(CJ7="H-PCLK","(Pixel Count)","     (ns)")</f>
        <v>     (ns)</v>
      </c>
      <c r="BN16" s="60" t="str">
        <f>IF(CJ7="H-PCLK","(*H-PCLK)","     (ns)")</f>
        <v>     (ns)</v>
      </c>
      <c r="CI16" s="441" t="s">
        <v>126</v>
      </c>
      <c r="CJ16" s="299"/>
      <c r="CK16" s="299"/>
      <c r="CL16" s="391"/>
      <c r="CM16" s="392" t="s">
        <v>121</v>
      </c>
      <c r="CN16" s="393">
        <v>2</v>
      </c>
      <c r="CO16" s="97"/>
      <c r="CP16" s="419" t="str">
        <f>IF(CQ16&gt;=CR16,IF(CQ16&lt;=CS16,"OK","NG"),"NG")</f>
        <v>OK</v>
      </c>
      <c r="CQ16" s="300">
        <f>(CN16+4)*1/CJ4*1000</f>
        <v>115.942028985507</v>
      </c>
      <c r="CR16" s="97">
        <f>85+6*1/(CJ3*2)*1000</f>
        <v>99.4927536231884</v>
      </c>
      <c r="CS16" s="97">
        <f>CJ11+CJ12</f>
        <v>252.927</v>
      </c>
      <c r="CT16" s="379" t="s">
        <v>110</v>
      </c>
    </row>
    <row r="17" customHeight="1" spans="4:98">
      <c r="D17" s="295" t="s">
        <v>99</v>
      </c>
      <c r="Z17" s="316">
        <f>CJ22</f>
        <v>405.797101449275</v>
      </c>
      <c r="AA17" s="317"/>
      <c r="AB17" s="317"/>
      <c r="AC17" s="327"/>
      <c r="AD17" s="80"/>
      <c r="AF17" s="304">
        <f>CJ20</f>
        <v>724.63768115942</v>
      </c>
      <c r="AG17" s="305"/>
      <c r="AH17" s="305"/>
      <c r="AI17" s="310"/>
      <c r="AT17" s="338">
        <f>IF(CJ7="H-PCLK",AX4,CK23)</f>
        <v>18579.7101449275</v>
      </c>
      <c r="AU17" s="339"/>
      <c r="AV17" s="339"/>
      <c r="AW17" s="340"/>
      <c r="BO17" s="342">
        <f>CJ21</f>
        <v>695.652173913044</v>
      </c>
      <c r="BP17" s="343"/>
      <c r="BQ17" s="343"/>
      <c r="BR17" s="346"/>
      <c r="CI17" s="364"/>
      <c r="CJ17" s="365"/>
      <c r="CK17" s="365"/>
      <c r="CL17" s="394"/>
      <c r="CM17" s="395" t="s">
        <v>127</v>
      </c>
      <c r="CN17" s="396"/>
      <c r="CO17" s="365"/>
      <c r="CP17" s="420" t="str">
        <f>IF(CQ17&gt;=CR17,IF(CQ17&lt;=CS17,"OK","NG"),"NG")</f>
        <v>OK</v>
      </c>
      <c r="CQ17" s="365">
        <f>(CN16+5)*1/CJ4*1000</f>
        <v>135.265700483092</v>
      </c>
      <c r="CR17" s="365">
        <f>85+6*1/(CJ3*2)*1000</f>
        <v>99.4927536231884</v>
      </c>
      <c r="CS17" s="365">
        <f>CJ11+CJ12</f>
        <v>252.927</v>
      </c>
      <c r="CT17" s="394" t="s">
        <v>110</v>
      </c>
    </row>
    <row r="18" customHeight="1" spans="2:91">
      <c r="B18" s="60" t="s">
        <v>82</v>
      </c>
      <c r="Z18" s="318"/>
      <c r="AD18" s="318"/>
      <c r="AJ18" s="318"/>
      <c r="BI18" s="318"/>
      <c r="BY18" s="318"/>
      <c r="CI18" s="61" t="s">
        <v>128</v>
      </c>
      <c r="CM18" s="397" t="s">
        <v>129</v>
      </c>
    </row>
    <row r="19" customHeight="1" spans="2:97">
      <c r="B19" s="128" t="s">
        <v>86</v>
      </c>
      <c r="C19" s="296">
        <f>IF(B19="H",524288,0)</f>
        <v>0</v>
      </c>
      <c r="E19" s="299"/>
      <c r="M19" s="295" t="s">
        <v>130</v>
      </c>
      <c r="U19" s="313"/>
      <c r="V19" s="313"/>
      <c r="W19" s="313"/>
      <c r="X19" s="313"/>
      <c r="Y19" s="313"/>
      <c r="Z19" s="319"/>
      <c r="AA19" s="313"/>
      <c r="AB19" s="313"/>
      <c r="AC19" s="313"/>
      <c r="AD19" s="319"/>
      <c r="AE19" s="313"/>
      <c r="AF19" s="313"/>
      <c r="AG19" s="313"/>
      <c r="AH19" s="313"/>
      <c r="AI19" s="313"/>
      <c r="AJ19" s="103"/>
      <c r="AK19" s="103"/>
      <c r="AL19" s="103"/>
      <c r="AM19" s="103"/>
      <c r="AN19" s="103"/>
      <c r="AO19" s="103"/>
      <c r="AP19" s="103"/>
      <c r="AQ19" s="103" t="s">
        <v>131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9"/>
      <c r="BZ19" s="313"/>
      <c r="CA19" s="313"/>
      <c r="CB19" s="313"/>
      <c r="CC19" s="319"/>
      <c r="CD19" s="313"/>
      <c r="CE19" s="313"/>
      <c r="CF19" s="313"/>
      <c r="CI19" s="350" t="s">
        <v>70</v>
      </c>
      <c r="CJ19" s="366" t="str">
        <f>IF(CJ7="H-PCLK","HPCLK(dec)","(ns)")</f>
        <v>(ns)</v>
      </c>
      <c r="CK19" s="370" t="s">
        <v>132</v>
      </c>
      <c r="CL19" s="398" t="s">
        <v>71</v>
      </c>
      <c r="CM19" s="222" t="s">
        <v>72</v>
      </c>
      <c r="CN19" s="399" t="s">
        <v>133</v>
      </c>
      <c r="CO19" s="407" t="s">
        <v>73</v>
      </c>
      <c r="CP19" s="399" t="s">
        <v>132</v>
      </c>
      <c r="CQ19" s="399" t="s">
        <v>134</v>
      </c>
      <c r="CR19" s="421" t="s">
        <v>71</v>
      </c>
      <c r="CS19" s="428" t="s">
        <v>135</v>
      </c>
    </row>
    <row r="20" customHeight="1" spans="5:97">
      <c r="E20" s="299"/>
      <c r="Z20" s="60" t="s">
        <v>136</v>
      </c>
      <c r="AD20" s="60" t="str">
        <f>IF(CJ9="SYNC_PULSE","HSE","")</f>
        <v>HSE</v>
      </c>
      <c r="BY20" s="60" t="s">
        <v>136</v>
      </c>
      <c r="CC20" s="60" t="str">
        <f>IF(CJ9="SYNC_PULSE","HSE","")</f>
        <v>HSE</v>
      </c>
      <c r="CI20" s="355" t="s">
        <v>137</v>
      </c>
      <c r="CJ20" s="367">
        <f>IF(CJ7="H-PCLK",ROUNDUP(CP20/(1/CJ8*1000),0),CK20)</f>
        <v>724.63768115942</v>
      </c>
      <c r="CK20" s="368">
        <f>IF(CJ7="H-PCLK",CJ20*1/CJ8*1000,AH4*1/CR6*1000)</f>
        <v>724.63768115942</v>
      </c>
      <c r="CL20" s="379"/>
      <c r="CM20" s="352" t="s">
        <v>138</v>
      </c>
      <c r="CN20" s="371">
        <f>AH4</f>
        <v>50</v>
      </c>
      <c r="CO20" s="97" t="s">
        <v>139</v>
      </c>
      <c r="CP20" s="368">
        <f>AH4*1/CR6*1000</f>
        <v>724.63768115942</v>
      </c>
      <c r="CQ20" s="416"/>
      <c r="CR20" s="225" t="str">
        <f>IF(CN20&gt;510,"NG",IF(CN20&lt;0,"NG",IF(MOD(CN20,2)=1,"NG","OK")))</f>
        <v>OK</v>
      </c>
      <c r="CS20" s="418" t="s">
        <v>140</v>
      </c>
    </row>
    <row r="21" customHeight="1" spans="5:97">
      <c r="E21" s="299"/>
      <c r="T21" s="307"/>
      <c r="CI21" s="355" t="s">
        <v>141</v>
      </c>
      <c r="CJ21" s="367">
        <f>IF(CJ7="H-PCLK",ROUNDUP((CP26-CK25)/(1/CJ8*1000),0),CK21)</f>
        <v>695.652173913044</v>
      </c>
      <c r="CK21" s="368">
        <f>IF(CJ7="H-PCLK",CJ21*1/CJ8*1000,CP26-(CK22+CK20+CK23))</f>
        <v>695.652173913044</v>
      </c>
      <c r="CL21" s="225" t="str">
        <f>IF(CK21&lt;0,"NG","OK")</f>
        <v>OK</v>
      </c>
      <c r="CM21" s="352" t="s">
        <v>142</v>
      </c>
      <c r="CN21" s="371">
        <f>BS4</f>
        <v>50</v>
      </c>
      <c r="CO21" s="97" t="s">
        <v>139</v>
      </c>
      <c r="CP21" s="368">
        <f>BS4*1/CR6*1000</f>
        <v>724.63768115942</v>
      </c>
      <c r="CQ21" s="416"/>
      <c r="CR21" s="225" t="str">
        <f>IF(CN21&gt;510,"NG",IF(CN21&lt;0,"NG",IF(MOD(CN21,2)=1,"NG","OK")))</f>
        <v>OK</v>
      </c>
      <c r="CS21" s="418" t="s">
        <v>140</v>
      </c>
    </row>
    <row r="22" customHeight="1" spans="5:97">
      <c r="E22" s="299"/>
      <c r="N22" s="60" t="s">
        <v>143</v>
      </c>
      <c r="T22" s="307"/>
      <c r="CI22" s="355" t="s">
        <v>66</v>
      </c>
      <c r="CJ22" s="367">
        <f>IF(CJ7="H-PCLK",ROUNDUP(CP22/(1/CJ8*1000),0),CK22)</f>
        <v>405.797101449275</v>
      </c>
      <c r="CK22" s="368">
        <f>IF(CJ7="H-PCLK",CJ22*1/CJ8*1000,AC4*1/CR6*1000)</f>
        <v>405.797101449275</v>
      </c>
      <c r="CL22" s="400"/>
      <c r="CM22" s="352" t="s">
        <v>144</v>
      </c>
      <c r="CN22" s="371">
        <f>AC4</f>
        <v>28</v>
      </c>
      <c r="CO22" s="97" t="s">
        <v>139</v>
      </c>
      <c r="CP22" s="368">
        <f>AC4*1/CR6*1000</f>
        <v>405.797101449275</v>
      </c>
      <c r="CQ22" s="416"/>
      <c r="CR22" s="225" t="str">
        <f>IF(CN22&gt;510,"NG",IF(CN22&lt;0,"NG",IF(MOD(CN22,2)=1,"NG","OK")))</f>
        <v>OK</v>
      </c>
      <c r="CS22" s="418" t="s">
        <v>140</v>
      </c>
    </row>
    <row r="23" customHeight="1" spans="5:97">
      <c r="E23" s="299"/>
      <c r="N23" s="60" t="s">
        <v>145</v>
      </c>
      <c r="T23" s="307"/>
      <c r="CI23" s="355" t="s">
        <v>146</v>
      </c>
      <c r="CJ23" s="367">
        <f>IF(CJ7="H-PCLK",AX4,CK23)</f>
        <v>18579.7101449275</v>
      </c>
      <c r="CK23" s="368">
        <f>IF(CJ7="H-PCLK",(AX4*CK6)*1/(CJ3*2*CJ5)*1000,(AX4*CK6+8*6)*1/(CJ3*2*CJ5)*1000)</f>
        <v>18579.7101449275</v>
      </c>
      <c r="CL23" s="379"/>
      <c r="CM23" s="352" t="s">
        <v>147</v>
      </c>
      <c r="CN23" s="371">
        <f>AX4</f>
        <v>1280</v>
      </c>
      <c r="CO23" s="97" t="s">
        <v>148</v>
      </c>
      <c r="CP23" s="368">
        <f>AX4*1/CR6*1000</f>
        <v>18550.7246376812</v>
      </c>
      <c r="CQ23" s="416"/>
      <c r="CR23" s="225" t="str">
        <f>IF(CN23&gt;2046,"NG",IF(CN23&lt;0,"NG",IF(MOD(CN23,2)=1,"NG","OK")))</f>
        <v>OK</v>
      </c>
      <c r="CS23" s="418" t="s">
        <v>140</v>
      </c>
    </row>
    <row r="24" customHeight="1" spans="2:97">
      <c r="B24" s="60" t="s">
        <v>149</v>
      </c>
      <c r="C24" s="297"/>
      <c r="D24" s="297"/>
      <c r="E24" s="300"/>
      <c r="N24" s="60" t="s">
        <v>150</v>
      </c>
      <c r="R24" s="297"/>
      <c r="S24" s="308"/>
      <c r="T24" s="309"/>
      <c r="U24" s="60" t="s">
        <v>151</v>
      </c>
      <c r="Y24" s="320"/>
      <c r="Z24" s="321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  <c r="AR24" s="321"/>
      <c r="AS24" s="321"/>
      <c r="AT24" s="321"/>
      <c r="AU24" s="321"/>
      <c r="AV24" s="321"/>
      <c r="AW24" s="321"/>
      <c r="AX24" s="321"/>
      <c r="AY24" s="321"/>
      <c r="AZ24" s="321"/>
      <c r="BA24" s="321"/>
      <c r="BB24" s="321"/>
      <c r="BC24" s="321"/>
      <c r="BD24" s="321"/>
      <c r="BE24" s="321"/>
      <c r="BF24" s="321"/>
      <c r="BG24" s="321"/>
      <c r="BH24" s="321"/>
      <c r="BI24" s="321"/>
      <c r="BJ24" s="321"/>
      <c r="BK24" s="321"/>
      <c r="BL24" s="321"/>
      <c r="BM24" s="321"/>
      <c r="BN24" s="321"/>
      <c r="BO24" s="321"/>
      <c r="BP24" s="321"/>
      <c r="BQ24" s="321"/>
      <c r="BR24" s="321"/>
      <c r="BS24" s="321"/>
      <c r="BT24" s="321"/>
      <c r="BU24" s="321"/>
      <c r="BV24" s="321"/>
      <c r="BW24" s="321"/>
      <c r="BX24" s="347"/>
      <c r="CI24" s="352" t="s">
        <v>152</v>
      </c>
      <c r="CJ24" s="368">
        <f>CJ22+CJ20</f>
        <v>1130.4347826087</v>
      </c>
      <c r="CK24" s="368">
        <f>CK20+CK22</f>
        <v>1130.4347826087</v>
      </c>
      <c r="CL24" s="379"/>
      <c r="CM24" s="352" t="s">
        <v>153</v>
      </c>
      <c r="CN24" s="401"/>
      <c r="CO24" s="97"/>
      <c r="CP24" s="368">
        <f>CP20+CP22+CP28</f>
        <v>2043.47826086957</v>
      </c>
      <c r="CQ24" s="368">
        <f>CP24-CK24</f>
        <v>913.04347826087</v>
      </c>
      <c r="CR24" s="225" t="str">
        <f>IF(CP24-CK24&gt;=0,"OK","NG")</f>
        <v>OK</v>
      </c>
      <c r="CS24" s="418" t="s">
        <v>140</v>
      </c>
    </row>
    <row r="25" customHeight="1" spans="2:97">
      <c r="B25" s="60" t="s">
        <v>150</v>
      </c>
      <c r="E25" s="301"/>
      <c r="N25" s="304">
        <f>B26</f>
        <v>2</v>
      </c>
      <c r="O25" s="305"/>
      <c r="P25" s="305"/>
      <c r="Q25" s="310"/>
      <c r="T25" s="307"/>
      <c r="Y25" s="322"/>
      <c r="Z25" s="323"/>
      <c r="AA25" s="323"/>
      <c r="AB25" s="323"/>
      <c r="AC25" s="323"/>
      <c r="AD25" s="323"/>
      <c r="AE25" s="323"/>
      <c r="AF25" s="323"/>
      <c r="AG25" s="323"/>
      <c r="AH25" s="323"/>
      <c r="AI25" s="323"/>
      <c r="AJ25" s="323"/>
      <c r="AK25" s="323"/>
      <c r="AL25" s="323"/>
      <c r="AM25" s="323"/>
      <c r="AN25" s="323"/>
      <c r="AO25" s="323"/>
      <c r="AP25" s="323"/>
      <c r="AQ25" s="323"/>
      <c r="AR25" s="323"/>
      <c r="AS25" s="323"/>
      <c r="AT25" s="323"/>
      <c r="AU25" s="323"/>
      <c r="AV25" s="323"/>
      <c r="AW25" s="323"/>
      <c r="AX25" s="323"/>
      <c r="AY25" s="323"/>
      <c r="AZ25" s="323"/>
      <c r="BA25" s="323"/>
      <c r="BB25" s="323"/>
      <c r="BC25" s="323"/>
      <c r="BD25" s="323"/>
      <c r="BE25" s="323"/>
      <c r="BF25" s="323"/>
      <c r="BG25" s="323"/>
      <c r="BH25" s="323"/>
      <c r="BI25" s="323"/>
      <c r="BJ25" s="323"/>
      <c r="BK25" s="323"/>
      <c r="BL25" s="323"/>
      <c r="BM25" s="323"/>
      <c r="BN25" s="323"/>
      <c r="BO25" s="323"/>
      <c r="BP25" s="323"/>
      <c r="BQ25" s="323"/>
      <c r="BR25" s="323"/>
      <c r="BS25" s="323"/>
      <c r="BT25" s="323"/>
      <c r="BU25" s="323"/>
      <c r="BV25" s="323"/>
      <c r="BW25" s="323"/>
      <c r="BX25" s="348"/>
      <c r="CI25" s="352" t="s">
        <v>154</v>
      </c>
      <c r="CJ25" s="368">
        <f>CJ24+CJ23</f>
        <v>19710.1449275362</v>
      </c>
      <c r="CK25" s="368">
        <f>CK24+CK23</f>
        <v>19710.1449275362</v>
      </c>
      <c r="CL25" s="379"/>
      <c r="CM25" s="352" t="s">
        <v>155</v>
      </c>
      <c r="CN25" s="401"/>
      <c r="CO25" s="97"/>
      <c r="CP25" s="368">
        <f>CP24+CP23</f>
        <v>20594.2028985507</v>
      </c>
      <c r="CQ25" s="368">
        <f>CP25-CK25</f>
        <v>884.057971014492</v>
      </c>
      <c r="CR25" s="225" t="str">
        <f>IF(CP25-CK25&gt;=0,"OK","NG")</f>
        <v>OK</v>
      </c>
      <c r="CS25" s="418" t="s">
        <v>140</v>
      </c>
    </row>
    <row r="26" customHeight="1" spans="2:97">
      <c r="B26" s="298">
        <v>2</v>
      </c>
      <c r="E26" s="301"/>
      <c r="T26" s="307"/>
      <c r="Y26" s="322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3"/>
      <c r="AQ26" s="323"/>
      <c r="AR26" s="323"/>
      <c r="AS26" s="323"/>
      <c r="AT26" s="323"/>
      <c r="AU26" s="323"/>
      <c r="AV26" s="323"/>
      <c r="AW26" s="323"/>
      <c r="AX26" s="323"/>
      <c r="AY26" s="323"/>
      <c r="AZ26" s="323"/>
      <c r="BA26" s="323"/>
      <c r="BB26" s="323"/>
      <c r="BC26" s="323"/>
      <c r="BD26" s="323"/>
      <c r="BE26" s="323"/>
      <c r="BF26" s="323"/>
      <c r="BG26" s="323"/>
      <c r="BH26" s="323"/>
      <c r="BI26" s="323"/>
      <c r="BJ26" s="323"/>
      <c r="BK26" s="323"/>
      <c r="BL26" s="323"/>
      <c r="BM26" s="323"/>
      <c r="BN26" s="323"/>
      <c r="BO26" s="323"/>
      <c r="BP26" s="323"/>
      <c r="BQ26" s="323"/>
      <c r="BR26" s="323"/>
      <c r="BS26" s="323"/>
      <c r="BT26" s="323"/>
      <c r="BU26" s="323"/>
      <c r="BV26" s="323"/>
      <c r="BW26" s="323"/>
      <c r="BX26" s="348"/>
      <c r="CI26" s="352" t="s">
        <v>156</v>
      </c>
      <c r="CJ26" s="368">
        <f>CJ25+CJ21</f>
        <v>20405.7971014493</v>
      </c>
      <c r="CK26" s="368">
        <f>CK25+CK21</f>
        <v>20405.7971014493</v>
      </c>
      <c r="CL26" s="379"/>
      <c r="CM26" s="352" t="s">
        <v>157</v>
      </c>
      <c r="CN26" s="354">
        <f>SUM(CN20:CN23)</f>
        <v>1408</v>
      </c>
      <c r="CO26" s="97"/>
      <c r="CP26" s="368">
        <f>SUM(CP20:CP23)</f>
        <v>20405.7971014493</v>
      </c>
      <c r="CQ26" s="422">
        <f>CK26-CP26</f>
        <v>0</v>
      </c>
      <c r="CR26" s="225" t="str">
        <f>IF(CN8="Line",IF(CK26-CP26&gt;=0,"OK","NG"),"Don't care")</f>
        <v>OK</v>
      </c>
      <c r="CS26" s="418" t="s">
        <v>140</v>
      </c>
    </row>
    <row r="27" customHeight="1" spans="5:97">
      <c r="E27" s="301"/>
      <c r="N27" s="60" t="s">
        <v>158</v>
      </c>
      <c r="R27" s="297"/>
      <c r="S27" s="308"/>
      <c r="T27" s="309"/>
      <c r="U27" s="60" t="str">
        <f>IF(CJ9="SYNC_PULSE","VSE","")</f>
        <v>VSE</v>
      </c>
      <c r="Y27" s="322"/>
      <c r="Z27" s="323"/>
      <c r="AA27" s="323"/>
      <c r="AB27" s="323"/>
      <c r="AC27" s="323"/>
      <c r="AD27" s="323"/>
      <c r="AE27" s="323"/>
      <c r="AF27" s="323"/>
      <c r="AG27" s="323"/>
      <c r="AH27" s="323"/>
      <c r="AI27" s="323"/>
      <c r="AJ27" s="323"/>
      <c r="AK27" s="323"/>
      <c r="AL27" s="323"/>
      <c r="AM27" s="323"/>
      <c r="AN27" s="323"/>
      <c r="AO27" s="323"/>
      <c r="AP27" s="323"/>
      <c r="AQ27" s="323"/>
      <c r="AR27" s="323"/>
      <c r="AS27" s="323"/>
      <c r="AT27" s="323"/>
      <c r="AU27" s="323"/>
      <c r="AV27" s="323"/>
      <c r="AW27" s="323"/>
      <c r="AX27" s="323"/>
      <c r="AY27" s="323"/>
      <c r="AZ27" s="323"/>
      <c r="BA27" s="323"/>
      <c r="BB27" s="323"/>
      <c r="BC27" s="323"/>
      <c r="BD27" s="323"/>
      <c r="BE27" s="323"/>
      <c r="BF27" s="323"/>
      <c r="BG27" s="323"/>
      <c r="BH27" s="323"/>
      <c r="BI27" s="323"/>
      <c r="BJ27" s="323"/>
      <c r="BK27" s="323"/>
      <c r="BL27" s="323"/>
      <c r="BM27" s="323"/>
      <c r="BN27" s="323"/>
      <c r="BO27" s="323"/>
      <c r="BP27" s="323"/>
      <c r="BQ27" s="323"/>
      <c r="BR27" s="323"/>
      <c r="BS27" s="323"/>
      <c r="BT27" s="323"/>
      <c r="BU27" s="323"/>
      <c r="BV27" s="323"/>
      <c r="BW27" s="323"/>
      <c r="BX27" s="348"/>
      <c r="CI27" s="355" t="s">
        <v>159</v>
      </c>
      <c r="CJ27" s="368">
        <f>CJ22+CJ20+CJ21</f>
        <v>1826.08695652174</v>
      </c>
      <c r="CK27" s="368">
        <f>CK22+CK20+CK21</f>
        <v>1826.08695652174</v>
      </c>
      <c r="CL27" s="379"/>
      <c r="CM27" s="355" t="s">
        <v>160</v>
      </c>
      <c r="CN27" s="354">
        <f>CN22+CN20+CN21</f>
        <v>128</v>
      </c>
      <c r="CO27" s="97"/>
      <c r="CP27" s="368">
        <f>CP22+CP20+CP21</f>
        <v>1855.07246376812</v>
      </c>
      <c r="CQ27" s="416"/>
      <c r="CR27" s="379"/>
      <c r="CS27" s="418" t="s">
        <v>140</v>
      </c>
    </row>
    <row r="28" customHeight="1" spans="5:99">
      <c r="E28" s="302"/>
      <c r="N28" s="60" t="s">
        <v>145</v>
      </c>
      <c r="T28" s="307"/>
      <c r="Y28" s="322"/>
      <c r="Z28" s="323"/>
      <c r="AA28" s="323"/>
      <c r="AB28" s="323"/>
      <c r="AC28" s="323"/>
      <c r="AD28" s="323"/>
      <c r="AE28" s="323"/>
      <c r="AF28" s="323"/>
      <c r="AG28" s="323"/>
      <c r="AH28" s="323"/>
      <c r="AI28" s="323"/>
      <c r="AJ28" s="323"/>
      <c r="AK28" s="323"/>
      <c r="AL28" s="323"/>
      <c r="AM28" s="323"/>
      <c r="AN28" s="323"/>
      <c r="AO28" s="323"/>
      <c r="AP28" s="323"/>
      <c r="AQ28" s="323"/>
      <c r="AR28" s="323"/>
      <c r="AS28" s="323"/>
      <c r="AT28" s="323"/>
      <c r="AU28" s="323"/>
      <c r="AV28" s="323"/>
      <c r="AW28" s="323"/>
      <c r="AX28" s="323"/>
      <c r="AY28" s="323"/>
      <c r="AZ28" s="323"/>
      <c r="BA28" s="323"/>
      <c r="BB28" s="323"/>
      <c r="BC28" s="323"/>
      <c r="BD28" s="323"/>
      <c r="BE28" s="323"/>
      <c r="BF28" s="323"/>
      <c r="BG28" s="323"/>
      <c r="BH28" s="323"/>
      <c r="BI28" s="323"/>
      <c r="BJ28" s="323"/>
      <c r="BK28" s="323"/>
      <c r="BL28" s="323"/>
      <c r="BM28" s="323"/>
      <c r="BN28" s="323"/>
      <c r="BO28" s="323"/>
      <c r="BP28" s="323"/>
      <c r="BQ28" s="323"/>
      <c r="BR28" s="323"/>
      <c r="BS28" s="323"/>
      <c r="BT28" s="323"/>
      <c r="BU28" s="323"/>
      <c r="BV28" s="323"/>
      <c r="BW28" s="323"/>
      <c r="BX28" s="348"/>
      <c r="CI28" s="364"/>
      <c r="CJ28" s="369"/>
      <c r="CK28" s="369"/>
      <c r="CL28" s="394"/>
      <c r="CM28" s="372" t="s">
        <v>161</v>
      </c>
      <c r="CN28" s="402">
        <f>U13</f>
        <v>63</v>
      </c>
      <c r="CO28" s="365"/>
      <c r="CP28" s="423">
        <f>1/$CN$6*1000*CN28</f>
        <v>913.04347826087</v>
      </c>
      <c r="CQ28" s="369"/>
      <c r="CR28" s="288" t="str">
        <f>IF(CK1="TC358764/65",CT28,CU28)</f>
        <v>OK</v>
      </c>
      <c r="CS28" s="418" t="s">
        <v>140</v>
      </c>
      <c r="CT28" s="186" t="str">
        <f>IF(U13&gt;0,IF(U13&lt;64,"OK","NG"),"NG")</f>
        <v>OK</v>
      </c>
      <c r="CU28" s="186" t="str">
        <f>IF(U13&gt;0,IF(U13&lt;1024,"OK","NG"),"NG")</f>
        <v>OK</v>
      </c>
    </row>
    <row r="29" customHeight="1" spans="2:76">
      <c r="B29" s="60" t="s">
        <v>162</v>
      </c>
      <c r="C29" s="297"/>
      <c r="D29" s="297"/>
      <c r="E29" s="299"/>
      <c r="N29" s="60" t="s">
        <v>150</v>
      </c>
      <c r="T29" s="307"/>
      <c r="Y29" s="322"/>
      <c r="Z29" s="323"/>
      <c r="AA29" s="323"/>
      <c r="AB29" s="323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3"/>
      <c r="AX29" s="323"/>
      <c r="AY29" s="323"/>
      <c r="AZ29" s="323"/>
      <c r="BA29" s="323"/>
      <c r="BB29" s="323"/>
      <c r="BC29" s="323"/>
      <c r="BD29" s="323"/>
      <c r="BE29" s="323"/>
      <c r="BF29" s="323"/>
      <c r="BG29" s="323"/>
      <c r="BH29" s="323"/>
      <c r="BI29" s="323"/>
      <c r="BJ29" s="323"/>
      <c r="BK29" s="323"/>
      <c r="BL29" s="323"/>
      <c r="BM29" s="323"/>
      <c r="BN29" s="323"/>
      <c r="BO29" s="323"/>
      <c r="BP29" s="323"/>
      <c r="BQ29" s="323"/>
      <c r="BR29" s="323"/>
      <c r="BS29" s="323"/>
      <c r="BT29" s="323"/>
      <c r="BU29" s="323"/>
      <c r="BV29" s="323"/>
      <c r="BW29" s="323"/>
      <c r="BX29" s="348"/>
    </row>
    <row r="30" customHeight="1" spans="2:76">
      <c r="B30" s="60" t="s">
        <v>150</v>
      </c>
      <c r="E30" s="299"/>
      <c r="N30" s="304">
        <f>B31</f>
        <v>4</v>
      </c>
      <c r="O30" s="305"/>
      <c r="P30" s="305"/>
      <c r="Q30" s="310"/>
      <c r="T30" s="307"/>
      <c r="Y30" s="322"/>
      <c r="Z30" s="323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3"/>
      <c r="AX30" s="323"/>
      <c r="AY30" s="323"/>
      <c r="AZ30" s="323"/>
      <c r="BA30" s="323"/>
      <c r="BB30" s="323"/>
      <c r="BC30" s="323"/>
      <c r="BD30" s="323"/>
      <c r="BE30" s="323"/>
      <c r="BF30" s="323"/>
      <c r="BG30" s="323"/>
      <c r="BH30" s="323"/>
      <c r="BI30" s="323"/>
      <c r="BJ30" s="323"/>
      <c r="BK30" s="323"/>
      <c r="BL30" s="323"/>
      <c r="BM30" s="323"/>
      <c r="BN30" s="323"/>
      <c r="BO30" s="323"/>
      <c r="BP30" s="323"/>
      <c r="BQ30" s="323"/>
      <c r="BR30" s="323"/>
      <c r="BS30" s="323"/>
      <c r="BT30" s="323"/>
      <c r="BU30" s="323"/>
      <c r="BV30" s="323"/>
      <c r="BW30" s="323"/>
      <c r="BX30" s="348"/>
    </row>
    <row r="31" customHeight="1" spans="2:87">
      <c r="B31" s="298">
        <v>4</v>
      </c>
      <c r="E31" s="299"/>
      <c r="T31" s="307"/>
      <c r="Y31" s="322"/>
      <c r="Z31" s="323"/>
      <c r="AA31" s="323"/>
      <c r="AB31" s="323"/>
      <c r="AC31" s="323"/>
      <c r="AD31" s="323"/>
      <c r="AE31" s="323"/>
      <c r="AF31" s="323"/>
      <c r="AG31" s="323"/>
      <c r="AH31" s="323"/>
      <c r="AI31" s="323"/>
      <c r="AJ31" s="323"/>
      <c r="AK31" s="323"/>
      <c r="AL31" s="323"/>
      <c r="AM31" s="323"/>
      <c r="AN31" s="323"/>
      <c r="AO31" s="323"/>
      <c r="AP31" s="323"/>
      <c r="AQ31" s="323"/>
      <c r="AR31" s="323"/>
      <c r="AS31" s="323"/>
      <c r="AT31" s="323"/>
      <c r="AU31" s="323"/>
      <c r="AV31" s="323"/>
      <c r="AW31" s="323"/>
      <c r="AX31" s="323"/>
      <c r="AY31" s="323"/>
      <c r="AZ31" s="323"/>
      <c r="BA31" s="323"/>
      <c r="BB31" s="323"/>
      <c r="BC31" s="323"/>
      <c r="BD31" s="323"/>
      <c r="BE31" s="323"/>
      <c r="BF31" s="323"/>
      <c r="BG31" s="323"/>
      <c r="BH31" s="323"/>
      <c r="BI31" s="323"/>
      <c r="BJ31" s="323"/>
      <c r="BK31" s="323"/>
      <c r="BL31" s="323"/>
      <c r="BM31" s="323"/>
      <c r="BN31" s="323"/>
      <c r="BO31" s="323"/>
      <c r="BP31" s="323"/>
      <c r="BQ31" s="323"/>
      <c r="BR31" s="323"/>
      <c r="BS31" s="323"/>
      <c r="BT31" s="323"/>
      <c r="BU31" s="323"/>
      <c r="BV31" s="323"/>
      <c r="BW31" s="323"/>
      <c r="BX31" s="348"/>
      <c r="CI31" s="61" t="s">
        <v>163</v>
      </c>
    </row>
    <row r="32" customHeight="1" spans="5:96">
      <c r="E32" s="299"/>
      <c r="T32" s="311"/>
      <c r="Y32" s="322"/>
      <c r="Z32" s="323"/>
      <c r="AA32" s="323"/>
      <c r="AB32" s="323"/>
      <c r="AC32" s="323"/>
      <c r="AD32" s="323"/>
      <c r="AE32" s="323"/>
      <c r="AF32" s="323"/>
      <c r="AG32" s="323"/>
      <c r="AH32" s="323"/>
      <c r="AI32" s="323"/>
      <c r="AJ32" s="323"/>
      <c r="AK32" s="323"/>
      <c r="AL32" s="323"/>
      <c r="AM32" s="323"/>
      <c r="AN32" s="323"/>
      <c r="AO32" s="323"/>
      <c r="AP32" s="323"/>
      <c r="AQ32" s="323"/>
      <c r="AR32" s="323"/>
      <c r="AS32" s="323"/>
      <c r="AT32" s="323"/>
      <c r="AU32" s="323"/>
      <c r="AV32" s="323"/>
      <c r="AW32" s="323"/>
      <c r="AX32" s="323"/>
      <c r="AY32" s="323"/>
      <c r="AZ32" s="323"/>
      <c r="BA32" s="323"/>
      <c r="BB32" s="323"/>
      <c r="BC32" s="323"/>
      <c r="BD32" s="323"/>
      <c r="BE32" s="323"/>
      <c r="BF32" s="323"/>
      <c r="BG32" s="323"/>
      <c r="BH32" s="323"/>
      <c r="BI32" s="323"/>
      <c r="BJ32" s="323"/>
      <c r="BK32" s="323"/>
      <c r="BL32" s="323"/>
      <c r="BM32" s="323"/>
      <c r="BN32" s="323"/>
      <c r="BO32" s="323"/>
      <c r="BP32" s="323"/>
      <c r="BQ32" s="323"/>
      <c r="BR32" s="323"/>
      <c r="BS32" s="323"/>
      <c r="BT32" s="323"/>
      <c r="BU32" s="323"/>
      <c r="BV32" s="323"/>
      <c r="BW32" s="323"/>
      <c r="BX32" s="348"/>
      <c r="CI32" s="350" t="s">
        <v>70</v>
      </c>
      <c r="CJ32" s="370" t="s">
        <v>164</v>
      </c>
      <c r="CK32" s="370" t="s">
        <v>165</v>
      </c>
      <c r="CL32" s="376"/>
      <c r="CM32" s="222" t="s">
        <v>72</v>
      </c>
      <c r="CN32" s="399" t="s">
        <v>164</v>
      </c>
      <c r="CO32" s="407" t="s">
        <v>73</v>
      </c>
      <c r="CP32" s="399" t="s">
        <v>165</v>
      </c>
      <c r="CQ32" s="399" t="s">
        <v>134</v>
      </c>
      <c r="CR32" s="421" t="s">
        <v>71</v>
      </c>
    </row>
    <row r="33" customHeight="1" spans="3:96">
      <c r="C33" s="297"/>
      <c r="D33" s="297"/>
      <c r="E33" s="303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308"/>
      <c r="T33" s="312"/>
      <c r="Y33" s="322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31"/>
      <c r="AM33" s="330"/>
      <c r="AN33" s="330"/>
      <c r="AO33" s="330"/>
      <c r="AP33" s="330"/>
      <c r="AQ33" s="330"/>
      <c r="AR33" s="330"/>
      <c r="AS33" s="330"/>
      <c r="AT33" s="330"/>
      <c r="AU33" s="330"/>
      <c r="AV33" s="330"/>
      <c r="AW33" s="330"/>
      <c r="AX33" s="330"/>
      <c r="AY33" s="330"/>
      <c r="AZ33" s="330"/>
      <c r="BA33" s="330"/>
      <c r="BB33" s="330"/>
      <c r="BC33" s="330"/>
      <c r="BD33" s="330"/>
      <c r="BE33" s="330"/>
      <c r="BF33" s="330"/>
      <c r="BG33" s="330"/>
      <c r="BH33" s="330"/>
      <c r="BI33" s="330"/>
      <c r="BJ33" s="330"/>
      <c r="BK33" s="330"/>
      <c r="BL33" s="330"/>
      <c r="BM33" s="341"/>
      <c r="BN33" s="323"/>
      <c r="BO33" s="323"/>
      <c r="BP33" s="323"/>
      <c r="BQ33" s="323"/>
      <c r="BR33" s="323"/>
      <c r="BS33" s="323"/>
      <c r="BT33" s="323"/>
      <c r="BU33" s="323"/>
      <c r="BV33" s="323"/>
      <c r="BW33" s="323"/>
      <c r="BX33" s="348"/>
      <c r="CI33" s="355" t="s">
        <v>158</v>
      </c>
      <c r="CJ33" s="371">
        <f>N30</f>
        <v>4</v>
      </c>
      <c r="CK33" s="97"/>
      <c r="CL33" s="379"/>
      <c r="CM33" s="352" t="s">
        <v>166</v>
      </c>
      <c r="CN33" s="371">
        <f>B31</f>
        <v>4</v>
      </c>
      <c r="CO33" s="97" t="s">
        <v>167</v>
      </c>
      <c r="CP33" s="97"/>
      <c r="CQ33" s="378"/>
      <c r="CR33" s="225" t="str">
        <f>IF(CN33&gt;255,"NG",IF(CN33&lt;0,"NG","OK"))</f>
        <v>OK</v>
      </c>
    </row>
    <row r="34" customHeight="1" spans="5:96">
      <c r="E34" s="299"/>
      <c r="T34" s="312"/>
      <c r="Y34" s="322"/>
      <c r="Z34" s="323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32"/>
      <c r="AM34" s="333"/>
      <c r="AN34" s="333"/>
      <c r="AO34" s="333"/>
      <c r="AP34" s="333"/>
      <c r="AQ34" s="333"/>
      <c r="AR34" s="333"/>
      <c r="AS34" s="333"/>
      <c r="AT34" s="333"/>
      <c r="AU34" s="333"/>
      <c r="AV34" s="333"/>
      <c r="AW34" s="333"/>
      <c r="AX34" s="333"/>
      <c r="AY34" s="333"/>
      <c r="AZ34" s="333"/>
      <c r="BA34" s="333"/>
      <c r="BB34" s="333"/>
      <c r="BC34" s="333"/>
      <c r="BD34" s="333"/>
      <c r="BE34" s="333"/>
      <c r="BF34" s="333"/>
      <c r="BG34" s="333"/>
      <c r="BH34" s="333"/>
      <c r="BI34" s="333"/>
      <c r="BJ34" s="333"/>
      <c r="BK34" s="333"/>
      <c r="BL34" s="333"/>
      <c r="BM34" s="344"/>
      <c r="BN34" s="323"/>
      <c r="BO34" s="323"/>
      <c r="BP34" s="323"/>
      <c r="BQ34" s="323"/>
      <c r="BR34" s="323"/>
      <c r="BS34" s="323"/>
      <c r="BT34" s="323"/>
      <c r="BU34" s="323"/>
      <c r="BV34" s="323"/>
      <c r="BW34" s="323"/>
      <c r="BX34" s="348"/>
      <c r="CI34" s="355" t="s">
        <v>168</v>
      </c>
      <c r="CJ34" s="371">
        <f>N49</f>
        <v>10</v>
      </c>
      <c r="CK34" s="97"/>
      <c r="CL34" s="379"/>
      <c r="CM34" s="352" t="s">
        <v>169</v>
      </c>
      <c r="CN34" s="371">
        <f>B49</f>
        <v>10</v>
      </c>
      <c r="CO34" s="97" t="s">
        <v>167</v>
      </c>
      <c r="CP34" s="97"/>
      <c r="CQ34" s="378"/>
      <c r="CR34" s="225" t="str">
        <f>IF(CN34&gt;255,"NG",IF(CN34&lt;0,"NG","OK"))</f>
        <v>OK</v>
      </c>
    </row>
    <row r="35" customHeight="1" spans="5:96">
      <c r="E35" s="299"/>
      <c r="T35" s="312"/>
      <c r="Y35" s="322"/>
      <c r="Z35" s="323"/>
      <c r="AA35" s="323"/>
      <c r="AB35" s="323"/>
      <c r="AC35" s="323"/>
      <c r="AD35" s="323"/>
      <c r="AE35" s="323"/>
      <c r="AF35" s="323"/>
      <c r="AG35" s="323"/>
      <c r="AH35" s="323"/>
      <c r="AI35" s="323"/>
      <c r="AJ35" s="323"/>
      <c r="AK35" s="323"/>
      <c r="AL35" s="332"/>
      <c r="AM35" s="333"/>
      <c r="AN35" s="333"/>
      <c r="AO35" s="333"/>
      <c r="AP35" s="333"/>
      <c r="AQ35" s="333"/>
      <c r="AR35" s="333"/>
      <c r="AS35" s="333"/>
      <c r="AT35" s="333"/>
      <c r="AU35" s="333"/>
      <c r="AV35" s="333"/>
      <c r="AW35" s="333"/>
      <c r="AX35" s="333"/>
      <c r="AY35" s="333"/>
      <c r="AZ35" s="333"/>
      <c r="BA35" s="333"/>
      <c r="BB35" s="333"/>
      <c r="BC35" s="333"/>
      <c r="BD35" s="333"/>
      <c r="BE35" s="333"/>
      <c r="BF35" s="333"/>
      <c r="BG35" s="333"/>
      <c r="BH35" s="333"/>
      <c r="BI35" s="333"/>
      <c r="BJ35" s="333"/>
      <c r="BK35" s="333"/>
      <c r="BL35" s="333"/>
      <c r="BM35" s="344"/>
      <c r="BN35" s="323"/>
      <c r="BO35" s="323"/>
      <c r="BP35" s="323"/>
      <c r="BQ35" s="323"/>
      <c r="BR35" s="323"/>
      <c r="BS35" s="323"/>
      <c r="BT35" s="323"/>
      <c r="BU35" s="323"/>
      <c r="BV35" s="323"/>
      <c r="BW35" s="323"/>
      <c r="BX35" s="348"/>
      <c r="CI35" s="355" t="s">
        <v>143</v>
      </c>
      <c r="CJ35" s="371">
        <f>N25</f>
        <v>2</v>
      </c>
      <c r="CK35" s="97"/>
      <c r="CL35" s="379"/>
      <c r="CM35" s="352" t="s">
        <v>170</v>
      </c>
      <c r="CN35" s="371">
        <f>B26</f>
        <v>2</v>
      </c>
      <c r="CO35" s="97" t="s">
        <v>167</v>
      </c>
      <c r="CP35" s="97"/>
      <c r="CQ35" s="378"/>
      <c r="CR35" s="225" t="str">
        <f>IF(CJ35+CJ33&gt;CN35,IF(CN35&gt;=0,IF(CN35&lt;=255,"OK","NG"),"NG"),"NG")</f>
        <v>OK</v>
      </c>
    </row>
    <row r="36" customHeight="1" spans="5:96">
      <c r="E36" s="299"/>
      <c r="N36" s="60" t="s">
        <v>171</v>
      </c>
      <c r="T36" s="312"/>
      <c r="Y36" s="322"/>
      <c r="Z36" s="323"/>
      <c r="AA36" s="323"/>
      <c r="AB36" s="323"/>
      <c r="AC36" s="323"/>
      <c r="AD36" s="323"/>
      <c r="AE36" s="323"/>
      <c r="AF36" s="323"/>
      <c r="AG36" s="323"/>
      <c r="AH36" s="323"/>
      <c r="AI36" s="323"/>
      <c r="AJ36" s="323"/>
      <c r="AK36" s="323"/>
      <c r="AL36" s="332"/>
      <c r="AM36" s="333"/>
      <c r="AN36" s="333"/>
      <c r="AO36" s="333"/>
      <c r="AP36" s="333"/>
      <c r="AQ36" s="333"/>
      <c r="AR36" s="333"/>
      <c r="AS36" s="333"/>
      <c r="AT36" s="333"/>
      <c r="AU36" s="333"/>
      <c r="AV36" s="333"/>
      <c r="AW36" s="333"/>
      <c r="AX36" s="333"/>
      <c r="AY36" s="333"/>
      <c r="AZ36" s="333"/>
      <c r="BA36" s="333"/>
      <c r="BB36" s="333"/>
      <c r="BC36" s="333"/>
      <c r="BD36" s="333"/>
      <c r="BE36" s="333"/>
      <c r="BF36" s="333"/>
      <c r="BG36" s="333"/>
      <c r="BH36" s="333"/>
      <c r="BI36" s="333"/>
      <c r="BJ36" s="333"/>
      <c r="BK36" s="333"/>
      <c r="BL36" s="333"/>
      <c r="BM36" s="344"/>
      <c r="BN36" s="323"/>
      <c r="BO36" s="323"/>
      <c r="BP36" s="323"/>
      <c r="BQ36" s="323"/>
      <c r="BR36" s="323"/>
      <c r="BS36" s="323"/>
      <c r="BT36" s="323"/>
      <c r="BU36" s="323"/>
      <c r="BV36" s="323"/>
      <c r="BW36" s="323"/>
      <c r="BX36" s="348"/>
      <c r="CI36" s="355" t="s">
        <v>171</v>
      </c>
      <c r="CJ36" s="371">
        <f>N39</f>
        <v>800</v>
      </c>
      <c r="CK36" s="97"/>
      <c r="CL36" s="379"/>
      <c r="CM36" s="352" t="s">
        <v>172</v>
      </c>
      <c r="CN36" s="371">
        <f>B39</f>
        <v>800</v>
      </c>
      <c r="CO36" s="97" t="s">
        <v>173</v>
      </c>
      <c r="CP36" s="97"/>
      <c r="CQ36" s="378"/>
      <c r="CR36" s="225" t="str">
        <f>IF(CN36&gt;=0,IF(CN36&lt;=2027,IF(CJ36=CN36,"OK","NG"),"NG"),"NG")</f>
        <v>OK</v>
      </c>
    </row>
    <row r="37" customHeight="1" spans="2:96">
      <c r="B37" s="60" t="s">
        <v>174</v>
      </c>
      <c r="E37" s="299"/>
      <c r="N37" s="60" t="s">
        <v>145</v>
      </c>
      <c r="T37" s="312"/>
      <c r="Y37" s="322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32"/>
      <c r="AM37" s="333"/>
      <c r="AN37" s="333"/>
      <c r="AO37" s="333"/>
      <c r="AP37" s="333"/>
      <c r="AQ37" s="333"/>
      <c r="AR37" s="333"/>
      <c r="AS37" s="333"/>
      <c r="AT37" s="333"/>
      <c r="AU37" s="333"/>
      <c r="AV37" s="333"/>
      <c r="AW37" s="333"/>
      <c r="AX37" s="333"/>
      <c r="AY37" s="333"/>
      <c r="AZ37" s="333"/>
      <c r="BA37" s="333"/>
      <c r="BB37" s="333"/>
      <c r="BC37" s="333"/>
      <c r="BD37" s="333"/>
      <c r="BE37" s="333"/>
      <c r="BF37" s="333"/>
      <c r="BG37" s="333"/>
      <c r="BH37" s="333"/>
      <c r="BI37" s="333"/>
      <c r="BJ37" s="333"/>
      <c r="BK37" s="333"/>
      <c r="BL37" s="333"/>
      <c r="BM37" s="344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48"/>
      <c r="CI37" s="355" t="s">
        <v>175</v>
      </c>
      <c r="CJ37" s="354">
        <f>CJ35+CJ33</f>
        <v>6</v>
      </c>
      <c r="CK37" s="97"/>
      <c r="CL37" s="379"/>
      <c r="CM37" s="355" t="s">
        <v>175</v>
      </c>
      <c r="CN37" s="354">
        <f>CN35+CN33</f>
        <v>6</v>
      </c>
      <c r="CO37" s="97"/>
      <c r="CP37" s="97"/>
      <c r="CQ37" s="378"/>
      <c r="CR37" s="225"/>
    </row>
    <row r="38" customHeight="1" spans="2:96">
      <c r="B38" s="60" t="s">
        <v>150</v>
      </c>
      <c r="E38" s="299"/>
      <c r="N38" s="60" t="s">
        <v>150</v>
      </c>
      <c r="T38" s="312"/>
      <c r="Y38" s="322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32"/>
      <c r="AM38" s="333"/>
      <c r="AN38" s="333"/>
      <c r="AO38" s="333"/>
      <c r="AP38" s="333"/>
      <c r="AQ38" s="333"/>
      <c r="AR38" s="333"/>
      <c r="AS38" s="333"/>
      <c r="AT38" s="333"/>
      <c r="AU38" s="333"/>
      <c r="AV38" s="333"/>
      <c r="AW38" s="333"/>
      <c r="AX38" s="333"/>
      <c r="AY38" s="333"/>
      <c r="AZ38" s="333"/>
      <c r="BA38" s="333"/>
      <c r="BB38" s="333"/>
      <c r="BC38" s="333"/>
      <c r="BD38" s="333"/>
      <c r="BE38" s="333"/>
      <c r="BF38" s="333"/>
      <c r="BG38" s="333"/>
      <c r="BH38" s="333"/>
      <c r="BI38" s="333"/>
      <c r="BJ38" s="333"/>
      <c r="BK38" s="333"/>
      <c r="BL38" s="333"/>
      <c r="BM38" s="344"/>
      <c r="BN38" s="323"/>
      <c r="BO38" s="323"/>
      <c r="BP38" s="323"/>
      <c r="BQ38" s="323"/>
      <c r="BR38" s="323"/>
      <c r="BS38" s="323"/>
      <c r="BT38" s="323"/>
      <c r="BU38" s="323"/>
      <c r="BV38" s="323"/>
      <c r="BW38" s="323"/>
      <c r="BX38" s="348"/>
      <c r="CI38" s="355" t="s">
        <v>176</v>
      </c>
      <c r="CJ38" s="354">
        <f>SUM(CJ33:CJ36)</f>
        <v>816</v>
      </c>
      <c r="CK38" s="97">
        <f>CK26*CJ38/10^6</f>
        <v>16.6511304347826</v>
      </c>
      <c r="CL38" s="379"/>
      <c r="CM38" s="355" t="s">
        <v>177</v>
      </c>
      <c r="CN38" s="354">
        <f>SUM(CN33:CN36)</f>
        <v>816</v>
      </c>
      <c r="CO38" s="97"/>
      <c r="CP38" s="97">
        <f>CP26*CN38/10^6</f>
        <v>16.6511304347826</v>
      </c>
      <c r="CQ38" s="424">
        <f>(CK38-CP38)*10^6</f>
        <v>0</v>
      </c>
      <c r="CR38" s="225" t="str">
        <f>IF(CN8="Line","Don't care","&lt;- Check")</f>
        <v>Don't care</v>
      </c>
    </row>
    <row r="39" customHeight="1" spans="2:96">
      <c r="B39" s="298">
        <v>800</v>
      </c>
      <c r="E39" s="299"/>
      <c r="N39" s="304">
        <f>B39</f>
        <v>800</v>
      </c>
      <c r="O39" s="305"/>
      <c r="P39" s="305"/>
      <c r="Q39" s="310"/>
      <c r="T39" s="312"/>
      <c r="Y39" s="322"/>
      <c r="Z39" s="323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32"/>
      <c r="AM39" s="333"/>
      <c r="AN39" s="333"/>
      <c r="AO39" s="333"/>
      <c r="AP39" s="333"/>
      <c r="AQ39" s="333"/>
      <c r="AR39" s="333"/>
      <c r="AS39" s="333"/>
      <c r="AT39" s="333"/>
      <c r="AU39" s="333"/>
      <c r="AV39" s="333"/>
      <c r="AW39" s="333"/>
      <c r="AX39" s="333"/>
      <c r="AY39" s="333"/>
      <c r="AZ39" s="333"/>
      <c r="BA39" s="333"/>
      <c r="BB39" s="333"/>
      <c r="BC39" s="333"/>
      <c r="BD39" s="333"/>
      <c r="BE39" s="333"/>
      <c r="BF39" s="333"/>
      <c r="BG39" s="333"/>
      <c r="BH39" s="333"/>
      <c r="BI39" s="333"/>
      <c r="BJ39" s="333"/>
      <c r="BK39" s="333"/>
      <c r="BL39" s="333"/>
      <c r="BM39" s="344"/>
      <c r="BN39" s="323"/>
      <c r="BO39" s="323"/>
      <c r="BP39" s="323"/>
      <c r="BQ39" s="323"/>
      <c r="BR39" s="323"/>
      <c r="BS39" s="323"/>
      <c r="BT39" s="323"/>
      <c r="BU39" s="323"/>
      <c r="BV39" s="323"/>
      <c r="BW39" s="323"/>
      <c r="BX39" s="348"/>
      <c r="CI39" s="372" t="s">
        <v>178</v>
      </c>
      <c r="CJ39" s="373">
        <f>SUM(CJ33:CJ35)</f>
        <v>16</v>
      </c>
      <c r="CK39" s="365"/>
      <c r="CL39" s="394"/>
      <c r="CM39" s="372" t="s">
        <v>179</v>
      </c>
      <c r="CN39" s="373">
        <f>SUM(CN33:CN35)</f>
        <v>16</v>
      </c>
      <c r="CO39" s="365"/>
      <c r="CP39" s="365"/>
      <c r="CQ39" s="425"/>
      <c r="CR39" s="426"/>
    </row>
    <row r="40" customHeight="1" spans="5:76">
      <c r="E40" s="299"/>
      <c r="T40" s="312"/>
      <c r="Y40" s="322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32"/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3"/>
      <c r="AX40" s="333"/>
      <c r="AY40" s="333"/>
      <c r="AZ40" s="333"/>
      <c r="BA40" s="333"/>
      <c r="BB40" s="333"/>
      <c r="BC40" s="333"/>
      <c r="BD40" s="333"/>
      <c r="BE40" s="333"/>
      <c r="BF40" s="333"/>
      <c r="BG40" s="333"/>
      <c r="BH40" s="333"/>
      <c r="BI40" s="333"/>
      <c r="BJ40" s="333"/>
      <c r="BK40" s="333"/>
      <c r="BL40" s="333"/>
      <c r="BM40" s="344"/>
      <c r="BN40" s="323"/>
      <c r="BO40" s="323"/>
      <c r="BP40" s="323"/>
      <c r="BQ40" s="323"/>
      <c r="BR40" s="323"/>
      <c r="BS40" s="323"/>
      <c r="BT40" s="323"/>
      <c r="BU40" s="323"/>
      <c r="BV40" s="323"/>
      <c r="BW40" s="323"/>
      <c r="BX40" s="348"/>
    </row>
    <row r="41" customHeight="1" spans="5:93">
      <c r="E41" s="299"/>
      <c r="T41" s="312"/>
      <c r="Y41" s="322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32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333"/>
      <c r="AX41" s="333"/>
      <c r="AY41" s="333"/>
      <c r="AZ41" s="333"/>
      <c r="BA41" s="333"/>
      <c r="BB41" s="333"/>
      <c r="BC41" s="333"/>
      <c r="BD41" s="333"/>
      <c r="BE41" s="333"/>
      <c r="BF41" s="333"/>
      <c r="BG41" s="333"/>
      <c r="BH41" s="333"/>
      <c r="BI41" s="333"/>
      <c r="BJ41" s="333"/>
      <c r="BK41" s="333"/>
      <c r="BL41" s="333"/>
      <c r="BM41" s="344"/>
      <c r="BN41" s="323"/>
      <c r="BO41" s="323"/>
      <c r="BP41" s="323"/>
      <c r="BQ41" s="323"/>
      <c r="BR41" s="323"/>
      <c r="BS41" s="323"/>
      <c r="BT41" s="323"/>
      <c r="BU41" s="323"/>
      <c r="BV41" s="323"/>
      <c r="BW41" s="323"/>
      <c r="BX41" s="348"/>
      <c r="CI41" s="97" t="s">
        <v>180</v>
      </c>
      <c r="CJ41" s="354">
        <f>1/(CJ38*CK26)*10^9</f>
        <v>60.0559826203209</v>
      </c>
      <c r="CK41" s="97" t="s">
        <v>181</v>
      </c>
      <c r="CL41" s="97"/>
      <c r="CM41" s="378" t="s">
        <v>180</v>
      </c>
      <c r="CN41" s="354">
        <f>1/(CN38*CP26)*10^9</f>
        <v>60.0559826203209</v>
      </c>
      <c r="CO41" s="97" t="s">
        <v>181</v>
      </c>
    </row>
    <row r="42" customHeight="1" spans="5:76">
      <c r="E42" s="299"/>
      <c r="T42" s="312"/>
      <c r="Y42" s="322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32"/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3"/>
      <c r="AX42" s="333"/>
      <c r="AY42" s="333"/>
      <c r="AZ42" s="333"/>
      <c r="BA42" s="333"/>
      <c r="BB42" s="333"/>
      <c r="BC42" s="333"/>
      <c r="BD42" s="333"/>
      <c r="BE42" s="333"/>
      <c r="BF42" s="333"/>
      <c r="BG42" s="333"/>
      <c r="BH42" s="333"/>
      <c r="BI42" s="333"/>
      <c r="BJ42" s="333"/>
      <c r="BK42" s="333"/>
      <c r="BL42" s="333"/>
      <c r="BM42" s="344"/>
      <c r="BN42" s="323"/>
      <c r="BO42" s="323"/>
      <c r="BP42" s="323"/>
      <c r="BQ42" s="323"/>
      <c r="BR42" s="323"/>
      <c r="BS42" s="323"/>
      <c r="BT42" s="323"/>
      <c r="BU42" s="323"/>
      <c r="BV42" s="323"/>
      <c r="BW42" s="323"/>
      <c r="BX42" s="348"/>
    </row>
    <row r="43" customHeight="1" spans="5:76">
      <c r="E43" s="299"/>
      <c r="T43" s="312"/>
      <c r="Y43" s="322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32"/>
      <c r="AM43" s="333"/>
      <c r="AN43" s="333"/>
      <c r="AO43" s="333"/>
      <c r="AP43" s="333"/>
      <c r="AQ43" s="333"/>
      <c r="AR43" s="333"/>
      <c r="AS43" s="333"/>
      <c r="AT43" s="333"/>
      <c r="AU43" s="333"/>
      <c r="AV43" s="333"/>
      <c r="AW43" s="333"/>
      <c r="AX43" s="333"/>
      <c r="AY43" s="333"/>
      <c r="AZ43" s="333"/>
      <c r="BA43" s="333"/>
      <c r="BB43" s="333"/>
      <c r="BC43" s="333"/>
      <c r="BD43" s="333"/>
      <c r="BE43" s="333"/>
      <c r="BF43" s="333"/>
      <c r="BG43" s="333"/>
      <c r="BH43" s="333"/>
      <c r="BI43" s="333"/>
      <c r="BJ43" s="333"/>
      <c r="BK43" s="333"/>
      <c r="BL43" s="333"/>
      <c r="BM43" s="344"/>
      <c r="BN43" s="323"/>
      <c r="BO43" s="323"/>
      <c r="BP43" s="323"/>
      <c r="BQ43" s="323"/>
      <c r="BR43" s="323"/>
      <c r="BS43" s="323"/>
      <c r="BT43" s="323"/>
      <c r="BU43" s="323"/>
      <c r="BV43" s="323"/>
      <c r="BW43" s="323"/>
      <c r="BX43" s="348"/>
    </row>
    <row r="44" customHeight="1" spans="5:91">
      <c r="E44" s="299"/>
      <c r="T44" s="312"/>
      <c r="Y44" s="322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32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3"/>
      <c r="AX44" s="333"/>
      <c r="AY44" s="333"/>
      <c r="AZ44" s="333"/>
      <c r="BA44" s="333"/>
      <c r="BB44" s="333"/>
      <c r="BC44" s="333"/>
      <c r="BD44" s="333"/>
      <c r="BE44" s="333"/>
      <c r="BF44" s="333"/>
      <c r="BG44" s="333"/>
      <c r="BH44" s="333"/>
      <c r="BI44" s="333"/>
      <c r="BJ44" s="333"/>
      <c r="BK44" s="333"/>
      <c r="BL44" s="333"/>
      <c r="BM44" s="344"/>
      <c r="BN44" s="323"/>
      <c r="BO44" s="323"/>
      <c r="BP44" s="323"/>
      <c r="BQ44" s="323"/>
      <c r="BR44" s="323"/>
      <c r="BS44" s="323"/>
      <c r="BT44" s="323"/>
      <c r="BU44" s="323"/>
      <c r="BV44" s="323"/>
      <c r="BW44" s="323"/>
      <c r="BX44" s="348"/>
      <c r="CI44" s="61" t="s">
        <v>182</v>
      </c>
      <c r="CM44" s="403" t="s">
        <v>183</v>
      </c>
    </row>
    <row r="45" customHeight="1" spans="5:91">
      <c r="E45" s="299"/>
      <c r="T45" s="312"/>
      <c r="Y45" s="322"/>
      <c r="Z45" s="323"/>
      <c r="AA45" s="323"/>
      <c r="AB45" s="323"/>
      <c r="AC45" s="323"/>
      <c r="AD45" s="323"/>
      <c r="AE45" s="323"/>
      <c r="AF45" s="323"/>
      <c r="AG45" s="323"/>
      <c r="AH45" s="323"/>
      <c r="AI45" s="323"/>
      <c r="AJ45" s="323"/>
      <c r="AK45" s="323"/>
      <c r="AL45" s="332"/>
      <c r="AM45" s="333"/>
      <c r="AN45" s="333"/>
      <c r="AO45" s="333"/>
      <c r="AP45" s="333"/>
      <c r="AQ45" s="333"/>
      <c r="AR45" s="333"/>
      <c r="AS45" s="333"/>
      <c r="AT45" s="333"/>
      <c r="AU45" s="333"/>
      <c r="AV45" s="333"/>
      <c r="AW45" s="333"/>
      <c r="AX45" s="333"/>
      <c r="AY45" s="333"/>
      <c r="AZ45" s="333"/>
      <c r="BA45" s="333"/>
      <c r="BB45" s="333"/>
      <c r="BC45" s="333"/>
      <c r="BD45" s="333"/>
      <c r="BE45" s="333"/>
      <c r="BF45" s="333"/>
      <c r="BG45" s="333"/>
      <c r="BH45" s="333"/>
      <c r="BI45" s="333"/>
      <c r="BJ45" s="333"/>
      <c r="BK45" s="333"/>
      <c r="BL45" s="333"/>
      <c r="BM45" s="344"/>
      <c r="BN45" s="323"/>
      <c r="BO45" s="323"/>
      <c r="BP45" s="323"/>
      <c r="BQ45" s="323"/>
      <c r="BR45" s="323"/>
      <c r="BS45" s="323"/>
      <c r="BT45" s="323"/>
      <c r="BU45" s="323"/>
      <c r="BV45" s="323"/>
      <c r="BW45" s="323"/>
      <c r="BX45" s="348"/>
      <c r="CI45" s="374" t="s">
        <v>184</v>
      </c>
      <c r="CJ45" s="374" t="s">
        <v>185</v>
      </c>
      <c r="CK45" s="374" t="s">
        <v>186</v>
      </c>
      <c r="CM45" s="404" t="str">
        <f>IF(CL21="NG","Error1: DSI cannot transfer 1line with required timing.","")</f>
        <v/>
      </c>
    </row>
    <row r="46" customHeight="1" spans="5:91">
      <c r="E46" s="299"/>
      <c r="N46" s="306" t="s">
        <v>168</v>
      </c>
      <c r="T46" s="312"/>
      <c r="Y46" s="322"/>
      <c r="Z46" s="323"/>
      <c r="AA46" s="323"/>
      <c r="AB46" s="323"/>
      <c r="AC46" s="323"/>
      <c r="AD46" s="323"/>
      <c r="AE46" s="323"/>
      <c r="AF46" s="323"/>
      <c r="AG46" s="323"/>
      <c r="AH46" s="323"/>
      <c r="AI46" s="323"/>
      <c r="AJ46" s="323"/>
      <c r="AK46" s="323"/>
      <c r="AL46" s="334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5"/>
      <c r="BJ46" s="335"/>
      <c r="BK46" s="335"/>
      <c r="BL46" s="335"/>
      <c r="BM46" s="345"/>
      <c r="BN46" s="323"/>
      <c r="BO46" s="323"/>
      <c r="BP46" s="323"/>
      <c r="BQ46" s="323"/>
      <c r="BR46" s="323"/>
      <c r="BS46" s="323"/>
      <c r="BT46" s="323"/>
      <c r="BU46" s="323"/>
      <c r="BV46" s="323"/>
      <c r="BW46" s="323"/>
      <c r="BX46" s="348"/>
      <c r="CI46" s="97" t="s">
        <v>187</v>
      </c>
      <c r="CJ46" s="375" t="s">
        <v>188</v>
      </c>
      <c r="CK46" s="405" t="str">
        <f>DEC2HEX(ROUNDUP((5*CN13-3)/4,0)*65536+ROUNDUP(1.5*CN13,0),8)</f>
        <v>00030005</v>
      </c>
      <c r="CM46" s="404" t="str">
        <f>IF(CR25="NG","Error2: Data picking timing at LVDS is faster than data putting timing at DSI.","")</f>
        <v/>
      </c>
    </row>
    <row r="47" customHeight="1" spans="2:91">
      <c r="B47" s="60" t="s">
        <v>189</v>
      </c>
      <c r="C47" s="297"/>
      <c r="D47" s="297"/>
      <c r="E47" s="303"/>
      <c r="F47" s="297"/>
      <c r="G47" s="297"/>
      <c r="H47" s="297"/>
      <c r="I47" s="297"/>
      <c r="J47" s="297"/>
      <c r="K47" s="297"/>
      <c r="L47" s="297"/>
      <c r="M47" s="297"/>
      <c r="N47" s="60" t="s">
        <v>145</v>
      </c>
      <c r="O47" s="297"/>
      <c r="P47" s="297"/>
      <c r="Q47" s="297"/>
      <c r="R47" s="297"/>
      <c r="S47" s="308"/>
      <c r="T47" s="307"/>
      <c r="Y47" s="322"/>
      <c r="Z47" s="323"/>
      <c r="AA47" s="323"/>
      <c r="AB47" s="323"/>
      <c r="AC47" s="323"/>
      <c r="AD47" s="323"/>
      <c r="AE47" s="323"/>
      <c r="AF47" s="323"/>
      <c r="AG47" s="323"/>
      <c r="AH47" s="323"/>
      <c r="AI47" s="323"/>
      <c r="AJ47" s="323"/>
      <c r="AK47" s="323"/>
      <c r="AL47" s="323"/>
      <c r="AM47" s="323"/>
      <c r="AN47" s="323"/>
      <c r="AO47" s="323"/>
      <c r="AP47" s="323"/>
      <c r="AQ47" s="323"/>
      <c r="AR47" s="323"/>
      <c r="AS47" s="323"/>
      <c r="AT47" s="323"/>
      <c r="AU47" s="323"/>
      <c r="AV47" s="323"/>
      <c r="AW47" s="323"/>
      <c r="AX47" s="323"/>
      <c r="AY47" s="323"/>
      <c r="AZ47" s="323"/>
      <c r="BA47" s="323"/>
      <c r="BB47" s="323"/>
      <c r="BC47" s="323"/>
      <c r="BD47" s="323"/>
      <c r="BE47" s="323"/>
      <c r="BF47" s="323"/>
      <c r="BG47" s="323"/>
      <c r="BH47" s="323"/>
      <c r="BI47" s="323"/>
      <c r="BJ47" s="323"/>
      <c r="BK47" s="323"/>
      <c r="BL47" s="323"/>
      <c r="BM47" s="323"/>
      <c r="BN47" s="323"/>
      <c r="BO47" s="323"/>
      <c r="BP47" s="323"/>
      <c r="BQ47" s="323"/>
      <c r="BR47" s="323"/>
      <c r="BS47" s="323"/>
      <c r="BT47" s="323"/>
      <c r="BU47" s="323"/>
      <c r="BV47" s="323"/>
      <c r="BW47" s="323"/>
      <c r="BX47" s="348"/>
      <c r="CI47" s="97" t="s">
        <v>190</v>
      </c>
      <c r="CJ47" s="375" t="s">
        <v>191</v>
      </c>
      <c r="CK47" s="405" t="str">
        <f>DEC2HEX(CN13,8)</f>
        <v>00000003</v>
      </c>
      <c r="CM47" s="404" t="str">
        <f>IF(CR24="NG","Error3: Data picking timing at LVDS is faster than data putting timing at DSI from the beginning of the line.","")</f>
        <v/>
      </c>
    </row>
    <row r="48" customHeight="1" spans="2:89">
      <c r="B48" s="60" t="s">
        <v>150</v>
      </c>
      <c r="E48" s="299"/>
      <c r="N48" s="60" t="s">
        <v>150</v>
      </c>
      <c r="T48" s="307"/>
      <c r="Y48" s="322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48"/>
      <c r="CI48" s="97" t="s">
        <v>192</v>
      </c>
      <c r="CJ48" s="375" t="s">
        <v>193</v>
      </c>
      <c r="CK48" s="405" t="str">
        <f>DEC2HEX(CN14,8)</f>
        <v>00000004</v>
      </c>
    </row>
    <row r="49" customHeight="1" spans="2:89">
      <c r="B49" s="298">
        <v>10</v>
      </c>
      <c r="E49" s="299"/>
      <c r="N49" s="304">
        <f>B49</f>
        <v>10</v>
      </c>
      <c r="O49" s="305"/>
      <c r="P49" s="305"/>
      <c r="Q49" s="310"/>
      <c r="T49" s="307"/>
      <c r="Y49" s="322"/>
      <c r="Z49" s="323"/>
      <c r="AA49" s="323"/>
      <c r="AB49" s="323"/>
      <c r="AC49" s="323"/>
      <c r="AD49" s="323"/>
      <c r="AE49" s="323"/>
      <c r="AF49" s="323"/>
      <c r="AG49" s="323"/>
      <c r="AH49" s="323"/>
      <c r="AI49" s="323"/>
      <c r="AJ49" s="323"/>
      <c r="AK49" s="323"/>
      <c r="AL49" s="323"/>
      <c r="AM49" s="323"/>
      <c r="AN49" s="323"/>
      <c r="AO49" s="323"/>
      <c r="AP49" s="323"/>
      <c r="AQ49" s="323"/>
      <c r="AR49" s="323"/>
      <c r="AS49" s="323"/>
      <c r="AT49" s="323"/>
      <c r="AU49" s="323"/>
      <c r="AV49" s="323"/>
      <c r="AW49" s="323"/>
      <c r="AX49" s="323"/>
      <c r="AY49" s="323"/>
      <c r="AZ49" s="323"/>
      <c r="BA49" s="323"/>
      <c r="BB49" s="323"/>
      <c r="BC49" s="323"/>
      <c r="BD49" s="323"/>
      <c r="BE49" s="323"/>
      <c r="BF49" s="323"/>
      <c r="BG49" s="323"/>
      <c r="BH49" s="323"/>
      <c r="BI49" s="323"/>
      <c r="BJ49" s="323"/>
      <c r="BK49" s="323"/>
      <c r="BL49" s="323"/>
      <c r="BM49" s="323"/>
      <c r="BN49" s="323"/>
      <c r="BO49" s="323"/>
      <c r="BP49" s="323"/>
      <c r="BQ49" s="323"/>
      <c r="BR49" s="323"/>
      <c r="BS49" s="323"/>
      <c r="BT49" s="323"/>
      <c r="BU49" s="323"/>
      <c r="BV49" s="323"/>
      <c r="BW49" s="323"/>
      <c r="BX49" s="348"/>
      <c r="CI49" s="97" t="s">
        <v>194</v>
      </c>
      <c r="CJ49" s="375" t="s">
        <v>195</v>
      </c>
      <c r="CK49" s="405" t="str">
        <f>DEC2HEX(CN14,8)</f>
        <v>00000004</v>
      </c>
    </row>
    <row r="50" customHeight="1" spans="5:89">
      <c r="E50" s="299"/>
      <c r="T50" s="307"/>
      <c r="Y50" s="322"/>
      <c r="Z50" s="323"/>
      <c r="AA50" s="323"/>
      <c r="AB50" s="323"/>
      <c r="AC50" s="323"/>
      <c r="AD50" s="323"/>
      <c r="AE50" s="323"/>
      <c r="AF50" s="323"/>
      <c r="AG50" s="323"/>
      <c r="AH50" s="323"/>
      <c r="AI50" s="323"/>
      <c r="AJ50" s="323"/>
      <c r="AK50" s="323"/>
      <c r="AL50" s="323"/>
      <c r="AM50" s="323"/>
      <c r="AN50" s="323"/>
      <c r="AO50" s="323"/>
      <c r="AP50" s="323"/>
      <c r="AQ50" s="323"/>
      <c r="AR50" s="323"/>
      <c r="AS50" s="323"/>
      <c r="AT50" s="323"/>
      <c r="AU50" s="323"/>
      <c r="AV50" s="323"/>
      <c r="AW50" s="323"/>
      <c r="AX50" s="323"/>
      <c r="AY50" s="323"/>
      <c r="AZ50" s="323"/>
      <c r="BA50" s="323"/>
      <c r="BB50" s="323"/>
      <c r="BC50" s="323"/>
      <c r="BD50" s="323"/>
      <c r="BE50" s="323"/>
      <c r="BF50" s="323"/>
      <c r="BG50" s="323"/>
      <c r="BH50" s="323"/>
      <c r="BI50" s="323"/>
      <c r="BJ50" s="323"/>
      <c r="BK50" s="323"/>
      <c r="BL50" s="323"/>
      <c r="BM50" s="323"/>
      <c r="BN50" s="323"/>
      <c r="BO50" s="323"/>
      <c r="BP50" s="323"/>
      <c r="BQ50" s="323"/>
      <c r="BR50" s="323"/>
      <c r="BS50" s="323"/>
      <c r="BT50" s="323"/>
      <c r="BU50" s="323"/>
      <c r="BV50" s="323"/>
      <c r="BW50" s="323"/>
      <c r="BX50" s="348"/>
      <c r="CI50" s="97" t="s">
        <v>196</v>
      </c>
      <c r="CJ50" s="375" t="s">
        <v>197</v>
      </c>
      <c r="CK50" s="405" t="str">
        <f>DEC2HEX(CN14,8)</f>
        <v>00000004</v>
      </c>
    </row>
    <row r="51" customHeight="1" spans="5:89">
      <c r="E51" s="299"/>
      <c r="T51" s="307"/>
      <c r="Y51" s="324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  <c r="BG51" s="325"/>
      <c r="BH51" s="325"/>
      <c r="BI51" s="325"/>
      <c r="BJ51" s="325"/>
      <c r="BK51" s="325"/>
      <c r="BL51" s="325"/>
      <c r="BM51" s="325"/>
      <c r="BN51" s="325"/>
      <c r="BO51" s="325"/>
      <c r="BP51" s="325"/>
      <c r="BQ51" s="325"/>
      <c r="BR51" s="325"/>
      <c r="BS51" s="325"/>
      <c r="BT51" s="325"/>
      <c r="BU51" s="325"/>
      <c r="BV51" s="325"/>
      <c r="BW51" s="325"/>
      <c r="BX51" s="349"/>
      <c r="CI51" s="97" t="s">
        <v>198</v>
      </c>
      <c r="CJ51" s="375" t="s">
        <v>199</v>
      </c>
      <c r="CK51" s="405" t="str">
        <f>DEC2HEX(CN14,8)</f>
        <v>00000004</v>
      </c>
    </row>
    <row r="52" customHeight="1" spans="3:89">
      <c r="C52" s="297"/>
      <c r="D52" s="297"/>
      <c r="E52" s="300"/>
      <c r="F52" s="303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308"/>
      <c r="T52" s="309"/>
      <c r="U52" s="60" t="s">
        <v>151</v>
      </c>
      <c r="CI52" s="97" t="s">
        <v>200</v>
      </c>
      <c r="CJ52" s="375" t="s">
        <v>201</v>
      </c>
      <c r="CK52" s="405" t="str">
        <f>IF(CJ5=1,"00000003",IF(CJ5=2,"00000007",IF(CJ5=3,"0000000F","0000001F")))</f>
        <v>0000001F</v>
      </c>
    </row>
    <row r="53" customHeight="1" spans="5:89">
      <c r="E53" s="301"/>
      <c r="T53" s="307"/>
      <c r="CI53" s="97" t="s">
        <v>202</v>
      </c>
      <c r="CJ53" s="375" t="s">
        <v>203</v>
      </c>
      <c r="CK53" s="405" t="str">
        <f>IF(CJ5=1,"00000003",IF(CJ5=2,"00000007",IF(CJ5=3,"0000000F","0000001F")))</f>
        <v>0000001F</v>
      </c>
    </row>
    <row r="54" customHeight="1" spans="5:91">
      <c r="E54" s="301"/>
      <c r="T54" s="307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326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302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CJ54" s="96"/>
      <c r="CK54" s="96"/>
      <c r="CM54" s="406" t="s">
        <v>204</v>
      </c>
    </row>
    <row r="55" customHeight="1" spans="5:91">
      <c r="E55" s="301"/>
      <c r="T55" s="309"/>
      <c r="U55" s="60" t="str">
        <f>IF(CJ9="SYNC_PULSE","VSE","")</f>
        <v>VSE</v>
      </c>
      <c r="Z55" s="60" t="s">
        <v>205</v>
      </c>
      <c r="CJ55" s="96"/>
      <c r="CK55" s="96"/>
      <c r="CM55" s="61" t="s">
        <v>206</v>
      </c>
    </row>
    <row r="56" customHeight="1" spans="5:91">
      <c r="E56" s="302"/>
      <c r="T56" s="307"/>
      <c r="Z56" s="60" t="s">
        <v>207</v>
      </c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CI56" s="97" t="s">
        <v>208</v>
      </c>
      <c r="CJ56" s="375" t="s">
        <v>209</v>
      </c>
      <c r="CK56" s="405" t="str">
        <f>DEC2HEX(CQ10+CQ8+CL9+CQ9+Y5+Y9+Y13+C19,8)</f>
        <v>03F00000</v>
      </c>
      <c r="CM56" s="60" t="s">
        <v>210</v>
      </c>
    </row>
    <row r="57" customHeight="1" spans="5:89">
      <c r="E57" s="299"/>
      <c r="T57" s="307"/>
      <c r="CI57" s="97" t="s">
        <v>211</v>
      </c>
      <c r="CJ57" s="375" t="s">
        <v>212</v>
      </c>
      <c r="CK57" s="405" t="str">
        <f>DEC2HEX(CN20*65536+CN22,8)</f>
        <v>0032001C</v>
      </c>
    </row>
    <row r="58" customHeight="1" spans="5:91">
      <c r="E58" s="299"/>
      <c r="T58" s="307"/>
      <c r="Z58" s="60" t="s">
        <v>213</v>
      </c>
      <c r="AH58" s="328"/>
      <c r="AI58" s="329"/>
      <c r="AJ58" s="329"/>
      <c r="AK58" s="336"/>
      <c r="AL58" s="172" t="s">
        <v>214</v>
      </c>
      <c r="AM58" s="173"/>
      <c r="AN58" s="173"/>
      <c r="AO58" s="175"/>
      <c r="AP58" s="172" t="s">
        <v>215</v>
      </c>
      <c r="AQ58" s="173"/>
      <c r="AR58" s="173"/>
      <c r="AS58" s="175"/>
      <c r="AT58" s="172" t="s">
        <v>216</v>
      </c>
      <c r="AU58" s="173"/>
      <c r="AV58" s="173"/>
      <c r="AW58" s="175"/>
      <c r="AX58" s="172" t="s">
        <v>217</v>
      </c>
      <c r="AY58" s="173"/>
      <c r="AZ58" s="173"/>
      <c r="BA58" s="175"/>
      <c r="BB58" s="172" t="s">
        <v>218</v>
      </c>
      <c r="BC58" s="173"/>
      <c r="BD58" s="173"/>
      <c r="BE58" s="175"/>
      <c r="BF58" s="172" t="s">
        <v>219</v>
      </c>
      <c r="BG58" s="173"/>
      <c r="BH58" s="173"/>
      <c r="BI58" s="175"/>
      <c r="BJ58" s="172" t="s">
        <v>220</v>
      </c>
      <c r="BK58" s="173"/>
      <c r="BL58" s="173"/>
      <c r="BM58" s="175"/>
      <c r="BN58" s="328"/>
      <c r="BO58" s="329"/>
      <c r="BP58" s="329"/>
      <c r="BQ58" s="336"/>
      <c r="CI58" s="97" t="s">
        <v>221</v>
      </c>
      <c r="CJ58" s="375" t="s">
        <v>222</v>
      </c>
      <c r="CK58" s="405" t="str">
        <f>DEC2HEX(CN21*65536+CN23,8)</f>
        <v>00320500</v>
      </c>
      <c r="CM58" s="61" t="s">
        <v>223</v>
      </c>
    </row>
    <row r="59" customHeight="1" spans="38:91">
      <c r="AL59" s="337">
        <f>IF(LEFT(AL58)="R",0,IF(LEFT(AL58)="G",8,IF(LEFT(AL58)="B",16,IF(LEFT(AL58)="H",24,IF(LEFT(AL58)="V",25,IF(LEFT(AL58)="D",26,27))))))</f>
        <v>8</v>
      </c>
      <c r="AM59" s="337"/>
      <c r="AN59" s="337" t="str">
        <f>IF(AL59&gt;=24,0,RIGHT(AL58))</f>
        <v>0</v>
      </c>
      <c r="AO59" s="337">
        <f>AL59+AN59</f>
        <v>8</v>
      </c>
      <c r="AP59" s="337">
        <f>IF(LEFT(AP58)="R",0,IF(LEFT(AP58)="G",8,IF(LEFT(AP58)="B",16,IF(LEFT(AP58)="H",24,IF(LEFT(AP58)="V",25,IF(LEFT(AP58)="D",26,27))))))</f>
        <v>0</v>
      </c>
      <c r="AQ59" s="337"/>
      <c r="AR59" s="337" t="str">
        <f>IF(AP59&gt;=24,0,RIGHT(AP58))</f>
        <v>5</v>
      </c>
      <c r="AS59" s="337">
        <f>AP59+AR59</f>
        <v>5</v>
      </c>
      <c r="AT59" s="337">
        <f>IF(LEFT(AT58)="R",0,IF(LEFT(AT58)="G",8,IF(LEFT(AT58)="B",16,IF(LEFT(AT58)="H",24,IF(LEFT(AT58)="V",25,IF(LEFT(AT58)="D",26,27))))))</f>
        <v>0</v>
      </c>
      <c r="AU59" s="337"/>
      <c r="AV59" s="337" t="str">
        <f>IF(AT59&gt;=24,0,RIGHT(AT58))</f>
        <v>4</v>
      </c>
      <c r="AW59" s="337">
        <f>AT59+AV59</f>
        <v>4</v>
      </c>
      <c r="AX59" s="337">
        <f>IF(LEFT(AX58)="R",0,IF(LEFT(AX58)="G",8,IF(LEFT(AX58)="B",16,IF(LEFT(AX58)="H",24,IF(LEFT(AX58)="V",25,IF(LEFT(AX58)="D",26,27))))))</f>
        <v>0</v>
      </c>
      <c r="AY59" s="337"/>
      <c r="AZ59" s="337" t="str">
        <f>IF(AX59&gt;=24,0,RIGHT(AX58))</f>
        <v>3</v>
      </c>
      <c r="BA59" s="337">
        <f>AX59+AZ59</f>
        <v>3</v>
      </c>
      <c r="BB59" s="337">
        <f>IF(LEFT(BB58)="R",0,IF(LEFT(BB58)="G",8,IF(LEFT(BB58)="B",16,IF(LEFT(BB58)="H",24,IF(LEFT(BB58)="V",25,IF(LEFT(BB58)="D",26,27))))))</f>
        <v>0</v>
      </c>
      <c r="BC59" s="337"/>
      <c r="BD59" s="337" t="str">
        <f>IF(BB59&gt;=24,0,RIGHT(BB58))</f>
        <v>2</v>
      </c>
      <c r="BE59" s="337">
        <f>BB59+BD59</f>
        <v>2</v>
      </c>
      <c r="BF59" s="337">
        <f>IF(LEFT(BF58)="R",0,IF(LEFT(BF58)="G",8,IF(LEFT(BF58)="B",16,IF(LEFT(BF58)="H",24,IF(LEFT(BF58)="V",25,IF(LEFT(BF58)="D",26,27))))))</f>
        <v>0</v>
      </c>
      <c r="BG59" s="337"/>
      <c r="BH59" s="337" t="str">
        <f>IF(BF59&gt;=24,0,RIGHT(BF58))</f>
        <v>1</v>
      </c>
      <c r="BI59" s="337">
        <f>BF59+BH59</f>
        <v>1</v>
      </c>
      <c r="BJ59" s="337">
        <f>IF(LEFT(BJ58)="R",0,IF(LEFT(BJ58)="G",8,IF(LEFT(BJ58)="B",16,IF(LEFT(BJ58)="H",24,IF(LEFT(BJ58)="V",25,IF(LEFT(BJ58)="D",26,27))))))</f>
        <v>0</v>
      </c>
      <c r="BK59" s="337"/>
      <c r="BL59" s="337" t="str">
        <f>IF(BJ59&gt;=24,0,RIGHT(BJ58))</f>
        <v>0</v>
      </c>
      <c r="BM59" s="337">
        <f>BJ59+BL59</f>
        <v>0</v>
      </c>
      <c r="CI59" s="97" t="s">
        <v>224</v>
      </c>
      <c r="CJ59" s="375" t="s">
        <v>225</v>
      </c>
      <c r="CK59" s="405" t="str">
        <f>DEC2HEX(CN33*65536+CN35,8)</f>
        <v>00040002</v>
      </c>
      <c r="CM59" s="60" t="s">
        <v>226</v>
      </c>
    </row>
    <row r="60" customHeight="1" spans="26:89">
      <c r="Z60" s="60" t="s">
        <v>227</v>
      </c>
      <c r="AH60" s="328"/>
      <c r="AI60" s="329"/>
      <c r="AJ60" s="329"/>
      <c r="AK60" s="336"/>
      <c r="AL60" s="172" t="s">
        <v>228</v>
      </c>
      <c r="AM60" s="173"/>
      <c r="AN60" s="173"/>
      <c r="AO60" s="175"/>
      <c r="AP60" s="172" t="s">
        <v>229</v>
      </c>
      <c r="AQ60" s="173"/>
      <c r="AR60" s="173"/>
      <c r="AS60" s="175"/>
      <c r="AT60" s="172" t="s">
        <v>230</v>
      </c>
      <c r="AU60" s="173"/>
      <c r="AV60" s="173"/>
      <c r="AW60" s="175"/>
      <c r="AX60" s="172" t="s">
        <v>231</v>
      </c>
      <c r="AY60" s="173"/>
      <c r="AZ60" s="173"/>
      <c r="BA60" s="175"/>
      <c r="BB60" s="172" t="s">
        <v>232</v>
      </c>
      <c r="BC60" s="173"/>
      <c r="BD60" s="173"/>
      <c r="BE60" s="175"/>
      <c r="BF60" s="172" t="s">
        <v>233</v>
      </c>
      <c r="BG60" s="173"/>
      <c r="BH60" s="173"/>
      <c r="BI60" s="175"/>
      <c r="BJ60" s="172" t="s">
        <v>234</v>
      </c>
      <c r="BK60" s="173"/>
      <c r="BL60" s="173"/>
      <c r="BM60" s="175"/>
      <c r="BN60" s="328"/>
      <c r="BO60" s="329"/>
      <c r="BP60" s="329"/>
      <c r="BQ60" s="336"/>
      <c r="BW60" s="60" t="s">
        <v>235</v>
      </c>
      <c r="CI60" s="97" t="s">
        <v>236</v>
      </c>
      <c r="CJ60" s="375" t="s">
        <v>237</v>
      </c>
      <c r="CK60" s="405" t="str">
        <f>DEC2HEX(CN34*65536+CN36,8)</f>
        <v>000A0320</v>
      </c>
    </row>
    <row r="61" customHeight="1" spans="38:91">
      <c r="AL61" s="337">
        <f>IF(LEFT(AL60)="R",0,IF(LEFT(AL60)="G",8,IF(LEFT(AL60)="B",16,IF(LEFT(AL60)="H",24,IF(LEFT(AL60)="V",25,IF(LEFT(AL60)="D",26,27))))))</f>
        <v>16</v>
      </c>
      <c r="AM61" s="337"/>
      <c r="AN61" s="337" t="str">
        <f>IF(AL61&gt;=24,0,RIGHT(AL60))</f>
        <v>1</v>
      </c>
      <c r="AO61" s="337">
        <f>AL61+AN61</f>
        <v>17</v>
      </c>
      <c r="AP61" s="337">
        <f>IF(LEFT(AP60)="R",0,IF(LEFT(AP60)="G",8,IF(LEFT(AP60)="B",16,IF(LEFT(AP60)="H",24,IF(LEFT(AP60)="V",25,IF(LEFT(AP60)="D",26,27))))))</f>
        <v>16</v>
      </c>
      <c r="AQ61" s="337"/>
      <c r="AR61" s="337" t="str">
        <f>IF(AP61&gt;=24,0,RIGHT(AP60))</f>
        <v>0</v>
      </c>
      <c r="AS61" s="337">
        <f>AP61+AR61</f>
        <v>16</v>
      </c>
      <c r="AT61" s="337">
        <f>IF(LEFT(AT60)="R",0,IF(LEFT(AT60)="G",8,IF(LEFT(AT60)="B",16,IF(LEFT(AT60)="H",24,IF(LEFT(AT60)="V",25,IF(LEFT(AT60)="D",26,27))))))</f>
        <v>8</v>
      </c>
      <c r="AU61" s="337"/>
      <c r="AV61" s="337" t="str">
        <f>IF(AT61&gt;=24,0,RIGHT(AT60))</f>
        <v>5</v>
      </c>
      <c r="AW61" s="337">
        <f>AT61+AV61</f>
        <v>13</v>
      </c>
      <c r="AX61" s="337">
        <f>IF(LEFT(AX60)="R",0,IF(LEFT(AX60)="G",8,IF(LEFT(AX60)="B",16,IF(LEFT(AX60)="H",24,IF(LEFT(AX60)="V",25,IF(LEFT(AX60)="D",26,27))))))</f>
        <v>8</v>
      </c>
      <c r="AY61" s="337"/>
      <c r="AZ61" s="337" t="str">
        <f>IF(AX61&gt;=24,0,RIGHT(AX60))</f>
        <v>4</v>
      </c>
      <c r="BA61" s="337">
        <f>AX61+AZ61</f>
        <v>12</v>
      </c>
      <c r="BB61" s="337">
        <f>IF(LEFT(BB60)="R",0,IF(LEFT(BB60)="G",8,IF(LEFT(BB60)="B",16,IF(LEFT(BB60)="H",24,IF(LEFT(BB60)="V",25,IF(LEFT(BB60)="D",26,27))))))</f>
        <v>8</v>
      </c>
      <c r="BC61" s="337"/>
      <c r="BD61" s="337" t="str">
        <f>IF(BB61&gt;=24,0,RIGHT(BB60))</f>
        <v>3</v>
      </c>
      <c r="BE61" s="337">
        <f>BB61+BD61</f>
        <v>11</v>
      </c>
      <c r="BF61" s="337">
        <f>IF(LEFT(BF60)="R",0,IF(LEFT(BF60)="G",8,IF(LEFT(BF60)="B",16,IF(LEFT(BF60)="H",24,IF(LEFT(BF60)="V",25,IF(LEFT(BF60)="D",26,27))))))</f>
        <v>8</v>
      </c>
      <c r="BG61" s="337"/>
      <c r="BH61" s="337" t="str">
        <f>IF(BF61&gt;=24,0,RIGHT(BF60))</f>
        <v>2</v>
      </c>
      <c r="BI61" s="337">
        <f>BF61+BH61</f>
        <v>10</v>
      </c>
      <c r="BJ61" s="337">
        <f>IF(LEFT(BJ60)="R",0,IF(LEFT(BJ60)="G",8,IF(LEFT(BJ60)="B",16,IF(LEFT(BJ60)="H",24,IF(LEFT(BJ60)="V",25,IF(LEFT(BJ60)="D",26,27))))))</f>
        <v>8</v>
      </c>
      <c r="BK61" s="337"/>
      <c r="BL61" s="337" t="str">
        <f>IF(BJ61&gt;=24,0,RIGHT(BJ60))</f>
        <v>1</v>
      </c>
      <c r="BM61" s="337">
        <f>BJ61+BL61</f>
        <v>9</v>
      </c>
      <c r="BX61" s="185" t="s">
        <v>238</v>
      </c>
      <c r="BY61" s="187"/>
      <c r="BZ61" s="187"/>
      <c r="CA61" s="188"/>
      <c r="CB61" s="296" t="str">
        <f>IF(BX61="Dflt","REM","WR")</f>
        <v>REM</v>
      </c>
      <c r="CI61" s="97" t="s">
        <v>239</v>
      </c>
      <c r="CJ61" s="375" t="s">
        <v>240</v>
      </c>
      <c r="CK61" s="405" t="str">
        <f>DEC2HEX(1+CQ11+CQ5+CQ4+CR5,8)</f>
        <v>00000031</v>
      </c>
      <c r="CM61" s="61" t="s">
        <v>241</v>
      </c>
    </row>
    <row r="62" customHeight="1" spans="26:91">
      <c r="Z62" s="60" t="s">
        <v>242</v>
      </c>
      <c r="AH62" s="328"/>
      <c r="AI62" s="329"/>
      <c r="AJ62" s="329"/>
      <c r="AK62" s="336"/>
      <c r="AL62" s="172" t="s">
        <v>103</v>
      </c>
      <c r="AM62" s="173"/>
      <c r="AN62" s="173"/>
      <c r="AO62" s="175"/>
      <c r="AP62" s="172" t="s">
        <v>243</v>
      </c>
      <c r="AQ62" s="173"/>
      <c r="AR62" s="173"/>
      <c r="AS62" s="175"/>
      <c r="AT62" s="172" t="s">
        <v>244</v>
      </c>
      <c r="AU62" s="173"/>
      <c r="AV62" s="173"/>
      <c r="AW62" s="175"/>
      <c r="AX62" s="172" t="s">
        <v>245</v>
      </c>
      <c r="AY62" s="173"/>
      <c r="AZ62" s="173"/>
      <c r="BA62" s="175"/>
      <c r="BB62" s="172" t="s">
        <v>246</v>
      </c>
      <c r="BC62" s="173"/>
      <c r="BD62" s="173"/>
      <c r="BE62" s="175"/>
      <c r="BF62" s="172" t="s">
        <v>247</v>
      </c>
      <c r="BG62" s="173"/>
      <c r="BH62" s="173"/>
      <c r="BI62" s="175"/>
      <c r="BJ62" s="172" t="s">
        <v>248</v>
      </c>
      <c r="BK62" s="173"/>
      <c r="BL62" s="173"/>
      <c r="BM62" s="175"/>
      <c r="BN62" s="328"/>
      <c r="BO62" s="329"/>
      <c r="BP62" s="329"/>
      <c r="BQ62" s="336"/>
      <c r="CI62" s="97" t="s">
        <v>249</v>
      </c>
      <c r="CJ62" s="375" t="s">
        <v>250</v>
      </c>
      <c r="CK62" s="405" t="str">
        <f>DEC2HEX(CQ6+CQ12,8)</f>
        <v>00000006</v>
      </c>
      <c r="CL62" s="296" t="str">
        <f>IF(CQ6=6,IF(CQ12=0,"Default","Change"),"Change")</f>
        <v>Default</v>
      </c>
      <c r="CM62" s="60" t="s">
        <v>251</v>
      </c>
    </row>
    <row r="63" customHeight="1" spans="38:65">
      <c r="AL63" s="337">
        <f>IF(LEFT(AL62)="R",0,IF(LEFT(AL62)="G",8,IF(LEFT(AL62)="B",16,IF(LEFT(AL62)="H",24,IF(LEFT(AL62)="V",25,IF(LEFT(AL62)="D",26,27))))))</f>
        <v>26</v>
      </c>
      <c r="AM63" s="337"/>
      <c r="AN63" s="337">
        <f>IF(AL63&gt;=24,0,RIGHT(AL62))</f>
        <v>0</v>
      </c>
      <c r="AO63" s="337">
        <f>AL63+AN63</f>
        <v>26</v>
      </c>
      <c r="AP63" s="337">
        <f>IF(LEFT(AP62)="R",0,IF(LEFT(AP62)="G",8,IF(LEFT(AP62)="B",16,IF(LEFT(AP62)="H",24,IF(LEFT(AP62)="V",25,IF(LEFT(AP62)="D",26,27))))))</f>
        <v>25</v>
      </c>
      <c r="AQ63" s="337"/>
      <c r="AR63" s="337">
        <f>IF(AP63&gt;=24,0,RIGHT(AP62))</f>
        <v>0</v>
      </c>
      <c r="AS63" s="337">
        <f>AP63+AR63</f>
        <v>25</v>
      </c>
      <c r="AT63" s="337">
        <f>IF(LEFT(AT62)="R",0,IF(LEFT(AT62)="G",8,IF(LEFT(AT62)="B",16,IF(LEFT(AT62)="H",24,IF(LEFT(AT62)="V",25,IF(LEFT(AT62)="D",26,27))))))</f>
        <v>24</v>
      </c>
      <c r="AU63" s="337"/>
      <c r="AV63" s="337">
        <f>IF(AT63&gt;=24,0,RIGHT(AT62))</f>
        <v>0</v>
      </c>
      <c r="AW63" s="337">
        <f>AT63+AV63</f>
        <v>24</v>
      </c>
      <c r="AX63" s="337">
        <f>IF(LEFT(AX62)="R",0,IF(LEFT(AX62)="G",8,IF(LEFT(AX62)="B",16,IF(LEFT(AX62)="H",24,IF(LEFT(AX62)="V",25,IF(LEFT(AX62)="D",26,27))))))</f>
        <v>16</v>
      </c>
      <c r="AY63" s="337"/>
      <c r="AZ63" s="337" t="str">
        <f>IF(AX63&gt;=24,0,RIGHT(AX62))</f>
        <v>5</v>
      </c>
      <c r="BA63" s="337">
        <f>AX63+AZ63</f>
        <v>21</v>
      </c>
      <c r="BB63" s="337">
        <f>IF(LEFT(BB62)="R",0,IF(LEFT(BB62)="G",8,IF(LEFT(BB62)="B",16,IF(LEFT(BB62)="H",24,IF(LEFT(BB62)="V",25,IF(LEFT(BB62)="D",26,27))))))</f>
        <v>16</v>
      </c>
      <c r="BC63" s="337"/>
      <c r="BD63" s="337" t="str">
        <f>IF(BB63&gt;=24,0,RIGHT(BB62))</f>
        <v>4</v>
      </c>
      <c r="BE63" s="337">
        <f>BB63+BD63</f>
        <v>20</v>
      </c>
      <c r="BF63" s="337">
        <f>IF(LEFT(BF62)="R",0,IF(LEFT(BF62)="G",8,IF(LEFT(BF62)="B",16,IF(LEFT(BF62)="H",24,IF(LEFT(BF62)="V",25,IF(LEFT(BF62)="D",26,27))))))</f>
        <v>16</v>
      </c>
      <c r="BG63" s="337"/>
      <c r="BH63" s="337" t="str">
        <f>IF(BF63&gt;=24,0,RIGHT(BF62))</f>
        <v>3</v>
      </c>
      <c r="BI63" s="337">
        <f>BF63+BH63</f>
        <v>19</v>
      </c>
      <c r="BJ63" s="337">
        <f>IF(LEFT(BJ62)="R",0,IF(LEFT(BJ62)="G",8,IF(LEFT(BJ62)="B",16,IF(LEFT(BJ62)="H",24,IF(LEFT(BJ62)="V",25,IF(LEFT(BJ62)="D",26,27))))))</f>
        <v>16</v>
      </c>
      <c r="BK63" s="337"/>
      <c r="BL63" s="337" t="str">
        <f>IF(BJ63&gt;=24,0,RIGHT(BJ62))</f>
        <v>2</v>
      </c>
      <c r="BM63" s="337">
        <f>BJ63+BL63</f>
        <v>18</v>
      </c>
    </row>
    <row r="64" customHeight="1" spans="26:69">
      <c r="Z64" s="60" t="s">
        <v>252</v>
      </c>
      <c r="AH64" s="328"/>
      <c r="AI64" s="329"/>
      <c r="AJ64" s="329"/>
      <c r="AK64" s="336"/>
      <c r="AL64" s="172">
        <v>0</v>
      </c>
      <c r="AM64" s="173"/>
      <c r="AN64" s="173"/>
      <c r="AO64" s="175"/>
      <c r="AP64" s="172" t="s">
        <v>253</v>
      </c>
      <c r="AQ64" s="173"/>
      <c r="AR64" s="173"/>
      <c r="AS64" s="175"/>
      <c r="AT64" s="172" t="s">
        <v>254</v>
      </c>
      <c r="AU64" s="173"/>
      <c r="AV64" s="173"/>
      <c r="AW64" s="175"/>
      <c r="AX64" s="172" t="s">
        <v>255</v>
      </c>
      <c r="AY64" s="173"/>
      <c r="AZ64" s="173"/>
      <c r="BA64" s="175"/>
      <c r="BB64" s="172" t="s">
        <v>256</v>
      </c>
      <c r="BC64" s="173"/>
      <c r="BD64" s="173"/>
      <c r="BE64" s="175"/>
      <c r="BF64" s="172" t="s">
        <v>257</v>
      </c>
      <c r="BG64" s="173"/>
      <c r="BH64" s="173"/>
      <c r="BI64" s="175"/>
      <c r="BJ64" s="172" t="s">
        <v>258</v>
      </c>
      <c r="BK64" s="173"/>
      <c r="BL64" s="173"/>
      <c r="BM64" s="175"/>
      <c r="BN64" s="328"/>
      <c r="BO64" s="329"/>
      <c r="BP64" s="329"/>
      <c r="BQ64" s="336"/>
    </row>
    <row r="65" customHeight="1" spans="38:89">
      <c r="AL65" s="337">
        <f>IF(LEFT(AL64)="R",0,IF(LEFT(AL64)="G",8,IF(LEFT(AL64)="B",16,IF(LEFT(AL64)="H",24,IF(LEFT(AL64)="V",25,IF(LEFT(AL64)="D",26,27))))))</f>
        <v>27</v>
      </c>
      <c r="AM65" s="337"/>
      <c r="AN65" s="337">
        <f>IF(AL65&gt;=24,0,RIGHT(AL64))</f>
        <v>0</v>
      </c>
      <c r="AO65" s="337">
        <f>AL65+AN65</f>
        <v>27</v>
      </c>
      <c r="AP65" s="337">
        <f>IF(LEFT(AP64)="R",0,IF(LEFT(AP64)="G",8,IF(LEFT(AP64)="B",16,IF(LEFT(AP64)="H",24,IF(LEFT(AP64)="V",25,IF(LEFT(AP64)="D",26,27))))))</f>
        <v>16</v>
      </c>
      <c r="AQ65" s="337"/>
      <c r="AR65" s="337" t="str">
        <f>IF(AP65&gt;=24,0,RIGHT(AP64))</f>
        <v>7</v>
      </c>
      <c r="AS65" s="337">
        <f>AP65+AR65</f>
        <v>23</v>
      </c>
      <c r="AT65" s="337">
        <f>IF(LEFT(AT64)="R",0,IF(LEFT(AT64)="G",8,IF(LEFT(AT64)="B",16,IF(LEFT(AT64)="H",24,IF(LEFT(AT64)="V",25,IF(LEFT(AT64)="D",26,27))))))</f>
        <v>16</v>
      </c>
      <c r="AU65" s="337"/>
      <c r="AV65" s="337" t="str">
        <f>IF(AT65&gt;=24,0,RIGHT(AT64))</f>
        <v>6</v>
      </c>
      <c r="AW65" s="337">
        <f>AT65+AV65</f>
        <v>22</v>
      </c>
      <c r="AX65" s="337">
        <f>IF(LEFT(AX64)="R",0,IF(LEFT(AX64)="G",8,IF(LEFT(AX64)="B",16,IF(LEFT(AX64)="H",24,IF(LEFT(AX64)="V",25,IF(LEFT(AX64)="D",26,27))))))</f>
        <v>8</v>
      </c>
      <c r="AY65" s="337"/>
      <c r="AZ65" s="337" t="str">
        <f>IF(AX65&gt;=24,0,RIGHT(AX64))</f>
        <v>7</v>
      </c>
      <c r="BA65" s="337">
        <f>AX65+AZ65</f>
        <v>15</v>
      </c>
      <c r="BB65" s="337">
        <f>IF(LEFT(BB64)="R",0,IF(LEFT(BB64)="G",8,IF(LEFT(BB64)="B",16,IF(LEFT(BB64)="H",24,IF(LEFT(BB64)="V",25,IF(LEFT(BB64)="D",26,27))))))</f>
        <v>8</v>
      </c>
      <c r="BC65" s="337"/>
      <c r="BD65" s="337" t="str">
        <f>IF(BB65&gt;=24,0,RIGHT(BB64))</f>
        <v>6</v>
      </c>
      <c r="BE65" s="337">
        <f>BB65+BD65</f>
        <v>14</v>
      </c>
      <c r="BF65" s="337">
        <f>IF(LEFT(BF64)="R",0,IF(LEFT(BF64)="G",8,IF(LEFT(BF64)="B",16,IF(LEFT(BF64)="H",24,IF(LEFT(BF64)="V",25,IF(LEFT(BF64)="D",26,27))))))</f>
        <v>0</v>
      </c>
      <c r="BG65" s="337"/>
      <c r="BH65" s="337" t="str">
        <f>IF(BF65&gt;=24,0,RIGHT(BF64))</f>
        <v>7</v>
      </c>
      <c r="BI65" s="337">
        <f>BF65+BH65</f>
        <v>7</v>
      </c>
      <c r="BJ65" s="337">
        <f>IF(LEFT(BJ64)="R",0,IF(LEFT(BJ64)="G",8,IF(LEFT(BJ64)="B",16,IF(LEFT(BJ64)="H",24,IF(LEFT(BJ64)="V",25,IF(LEFT(BJ64)="D",26,27))))))</f>
        <v>0</v>
      </c>
      <c r="BK65" s="337"/>
      <c r="BL65" s="337" t="str">
        <f>IF(BJ65&gt;=24,0,RIGHT(BJ64))</f>
        <v>6</v>
      </c>
      <c r="BM65" s="337">
        <f>BJ65+BL65</f>
        <v>6</v>
      </c>
      <c r="CI65" s="97" t="s">
        <v>259</v>
      </c>
      <c r="CJ65" s="375" t="s">
        <v>260</v>
      </c>
      <c r="CK65" s="405" t="str">
        <f>DEC2HEX(BM59+BI59*256+BE59*65536+BA59*16777216,8)</f>
        <v>03020100</v>
      </c>
    </row>
    <row r="66" customHeight="1" spans="87:89">
      <c r="CI66" s="97" t="s">
        <v>261</v>
      </c>
      <c r="CJ66" s="375" t="s">
        <v>262</v>
      </c>
      <c r="CK66" s="405" t="str">
        <f>DEC2HEX(AW59+BI65*256+AS59*65536+AO59*16777216,8)</f>
        <v>08050704</v>
      </c>
    </row>
    <row r="67" customHeight="1" spans="87:89">
      <c r="CI67" s="97" t="s">
        <v>263</v>
      </c>
      <c r="CJ67" s="375" t="s">
        <v>264</v>
      </c>
      <c r="CK67" s="405" t="str">
        <f>DEC2HEX(BM61+BI61*256+BE65*65536+BA65*16777216,8)</f>
        <v>0F0E0A09</v>
      </c>
    </row>
    <row r="68" customHeight="1" spans="87:89">
      <c r="CI68" s="97" t="s">
        <v>265</v>
      </c>
      <c r="CJ68" s="375" t="s">
        <v>266</v>
      </c>
      <c r="CK68" s="405" t="str">
        <f>DEC2HEX(BE61+BA61*256+AW61*65536+AS61*16777216,8)</f>
        <v>100D0C0B</v>
      </c>
    </row>
    <row r="69" customHeight="1" spans="87:89">
      <c r="CI69" s="97" t="s">
        <v>267</v>
      </c>
      <c r="CJ69" s="375" t="s">
        <v>268</v>
      </c>
      <c r="CK69" s="405" t="str">
        <f>DEC2HEX(AW65+AS65*256+AO61*65536+BM63*16777216,8)</f>
        <v>12111716</v>
      </c>
    </row>
    <row r="70" customHeight="1" spans="87:89">
      <c r="CI70" s="97" t="s">
        <v>269</v>
      </c>
      <c r="CJ70" s="375" t="s">
        <v>270</v>
      </c>
      <c r="CK70" s="405" t="str">
        <f>DEC2HEX(BI63+BE63*256+BA63*65536+AO65*16777216,8)</f>
        <v>1B151413</v>
      </c>
    </row>
    <row r="71" customHeight="1" spans="87:89">
      <c r="CI71" s="97" t="s">
        <v>271</v>
      </c>
      <c r="CJ71" s="375" t="s">
        <v>272</v>
      </c>
      <c r="CK71" s="405" t="str">
        <f>DEC2HEX(AW63+AS63*256+AO63*65536+BM65*16777216,8)</f>
        <v>061A1918</v>
      </c>
    </row>
  </sheetData>
  <sheetProtection password="EE8F" sheet="1" selectLockedCells="1"/>
  <mergeCells count="52">
    <mergeCell ref="AC4:AF4"/>
    <mergeCell ref="AH4:AK4"/>
    <mergeCell ref="AX4:BA4"/>
    <mergeCell ref="BS4:BV4"/>
    <mergeCell ref="U5:X5"/>
    <mergeCell ref="U9:X9"/>
    <mergeCell ref="U13:X13"/>
    <mergeCell ref="Z17:AC17"/>
    <mergeCell ref="AF17:AI17"/>
    <mergeCell ref="AT17:AW17"/>
    <mergeCell ref="BO17:BR17"/>
    <mergeCell ref="N25:Q25"/>
    <mergeCell ref="N30:Q30"/>
    <mergeCell ref="N39:Q39"/>
    <mergeCell ref="N49:Q49"/>
    <mergeCell ref="AH58:AK58"/>
    <mergeCell ref="AL58:AO58"/>
    <mergeCell ref="AP58:AS58"/>
    <mergeCell ref="AT58:AW58"/>
    <mergeCell ref="AX58:BA58"/>
    <mergeCell ref="BB58:BE58"/>
    <mergeCell ref="BF58:BI58"/>
    <mergeCell ref="BJ58:BM58"/>
    <mergeCell ref="BN58:BQ58"/>
    <mergeCell ref="AH60:AK60"/>
    <mergeCell ref="AL60:AO60"/>
    <mergeCell ref="AP60:AS60"/>
    <mergeCell ref="AT60:AW60"/>
    <mergeCell ref="AX60:BA60"/>
    <mergeCell ref="BB60:BE60"/>
    <mergeCell ref="BF60:BI60"/>
    <mergeCell ref="BJ60:BM60"/>
    <mergeCell ref="BN60:BQ60"/>
    <mergeCell ref="BX61:CA61"/>
    <mergeCell ref="AH62:AK62"/>
    <mergeCell ref="AL62:AO62"/>
    <mergeCell ref="AP62:AS62"/>
    <mergeCell ref="AT62:AW62"/>
    <mergeCell ref="AX62:BA62"/>
    <mergeCell ref="BB62:BE62"/>
    <mergeCell ref="BF62:BI62"/>
    <mergeCell ref="BJ62:BM62"/>
    <mergeCell ref="BN62:BQ62"/>
    <mergeCell ref="AH64:AK64"/>
    <mergeCell ref="AL64:AO64"/>
    <mergeCell ref="AP64:AS64"/>
    <mergeCell ref="AT64:AW64"/>
    <mergeCell ref="AX64:BA64"/>
    <mergeCell ref="BB64:BE64"/>
    <mergeCell ref="BF64:BI64"/>
    <mergeCell ref="BJ64:BM64"/>
    <mergeCell ref="BN64:BQ64"/>
  </mergeCells>
  <conditionalFormatting sqref="CK1">
    <cfRule type="expression" dxfId="0" priority="3" stopIfTrue="1">
      <formula>CK4="EXTCLK"</formula>
    </cfRule>
  </conditionalFormatting>
  <conditionalFormatting sqref="CN3">
    <cfRule type="expression" dxfId="0" priority="11" stopIfTrue="1">
      <formula>CN7="DSI"</formula>
    </cfRule>
  </conditionalFormatting>
  <conditionalFormatting sqref="BS4:BV4">
    <cfRule type="expression" dxfId="1" priority="12" stopIfTrue="1">
      <formula>CN8="Line"</formula>
    </cfRule>
  </conditionalFormatting>
  <conditionalFormatting sqref="CN4">
    <cfRule type="expression" dxfId="0" priority="2" stopIfTrue="1">
      <formula>CN7="EXTCLK"</formula>
    </cfRule>
  </conditionalFormatting>
  <conditionalFormatting sqref="CN5">
    <cfRule type="expression" dxfId="0" priority="1" stopIfTrue="1">
      <formula>CN7="EXTCLK"</formula>
    </cfRule>
  </conditionalFormatting>
  <conditionalFormatting sqref="CK7">
    <cfRule type="expression" dxfId="0" priority="27" stopIfTrue="1">
      <formula>$CJ$7="Time"</formula>
    </cfRule>
  </conditionalFormatting>
  <conditionalFormatting sqref="CN20">
    <cfRule type="expression" dxfId="0" priority="16" stopIfTrue="1">
      <formula>CQ8=0</formula>
    </cfRule>
  </conditionalFormatting>
  <conditionalFormatting sqref="CN21">
    <cfRule type="expression" dxfId="0" priority="4" stopIfTrue="1">
      <formula>CN8="Line"</formula>
    </cfRule>
  </conditionalFormatting>
  <conditionalFormatting sqref="CN22">
    <cfRule type="expression" dxfId="0" priority="17" stopIfTrue="1">
      <formula>CQ8=0</formula>
    </cfRule>
  </conditionalFormatting>
  <conditionalFormatting sqref="CN23">
    <cfRule type="expression" dxfId="0" priority="5" stopIfTrue="1">
      <formula>CN8="Line"</formula>
    </cfRule>
  </conditionalFormatting>
  <conditionalFormatting sqref="CN33">
    <cfRule type="expression" dxfId="0" priority="18" stopIfTrue="1">
      <formula>CN8="Line"</formula>
    </cfRule>
  </conditionalFormatting>
  <conditionalFormatting sqref="CN34">
    <cfRule type="expression" dxfId="0" priority="6" stopIfTrue="1">
      <formula>CN8="Line"</formula>
    </cfRule>
  </conditionalFormatting>
  <conditionalFormatting sqref="CN35">
    <cfRule type="expression" dxfId="0" priority="19" stopIfTrue="1">
      <formula>CQ8=0</formula>
    </cfRule>
  </conditionalFormatting>
  <conditionalFormatting sqref="CN36">
    <cfRule type="expression" dxfId="0" priority="7" stopIfTrue="1">
      <formula>CN8="Line"</formula>
    </cfRule>
  </conditionalFormatting>
  <conditionalFormatting sqref="CJ8:CJ9">
    <cfRule type="expression" dxfId="0" priority="10" stopIfTrue="1">
      <formula>CJ7="Time"</formula>
    </cfRule>
  </conditionalFormatting>
  <conditionalFormatting sqref="AL58:BM58 AL60:BM60 AL62:BM62 AL64:BM64">
    <cfRule type="cellIs" dxfId="2" priority="24" stopIfTrue="1" operator="between">
      <formula>"R0"</formula>
      <formula>"R7"</formula>
    </cfRule>
    <cfRule type="cellIs" dxfId="3" priority="25" stopIfTrue="1" operator="between">
      <formula>"G0"</formula>
      <formula>"G7"</formula>
    </cfRule>
    <cfRule type="cellIs" dxfId="4" priority="26" stopIfTrue="1" operator="between">
      <formula>"B0"</formula>
      <formula>"B7"</formula>
    </cfRule>
  </conditionalFormatting>
  <dataValidations count="14">
    <dataValidation type="list" allowBlank="1" showInputMessage="1" showErrorMessage="1" sqref="AL58:BM58 AL60:BM60 AL62:BM62 AL64:BM64">
      <formula1>"R0,R1,R2,R3,R4,R5,R6,R7,G0,G1,G2,G3,G4,G5,G6,G7,B0,B1,B2,B3,B4,B5,B6,B7,DE,HSY,VSY,0"</formula1>
    </dataValidation>
    <dataValidation type="list" allowBlank="1" showInputMessage="1" showErrorMessage="1" sqref="CN11">
      <formula1>"Single,Dual"</formula1>
    </dataValidation>
    <dataValidation type="list" allowBlank="1" showInputMessage="1" showErrorMessage="1" sqref="CN9">
      <formula1>"RGB666,RGB888"</formula1>
    </dataValidation>
    <dataValidation type="list" allowBlank="1" showInputMessage="1" showErrorMessage="1" sqref="U5 U9 B19">
      <formula1>"L,H"</formula1>
    </dataValidation>
    <dataValidation type="list" allowBlank="1" showInputMessage="1" showErrorMessage="1" sqref="CN10">
      <formula1>"ON,OFF"</formula1>
    </dataValidation>
    <dataValidation type="list" allowBlank="1" showInputMessage="1" showErrorMessage="1" sqref="BX61:CA61">
      <formula1>"Dflt, Mdfy"</formula1>
    </dataValidation>
    <dataValidation type="list" allowBlank="1" showInputMessage="1" showErrorMessage="1" sqref="CN7">
      <formula1>"DSI, EXTCLK"</formula1>
    </dataValidation>
    <dataValidation type="list" allowBlank="1" showInputMessage="1" showErrorMessage="1" sqref="CN12">
      <formula1>"Normal, Reduced"</formula1>
    </dataValidation>
    <dataValidation type="list" allowBlank="1" showInputMessage="1" showErrorMessage="1" sqref="CJ5">
      <formula1>"1,2,3,4"</formula1>
    </dataValidation>
    <dataValidation type="list" allowBlank="1" showInputMessage="1" showErrorMessage="1" sqref="CJ7">
      <formula1>"H-PCLK, Time"</formula1>
    </dataValidation>
    <dataValidation type="list" allowBlank="1" showInputMessage="1" showErrorMessage="1" sqref="CJ6">
      <formula1>"RGB565,pRGB666,lRGB666,RGB888"</formula1>
    </dataValidation>
    <dataValidation type="list" allowBlank="1" showInputMessage="1" showErrorMessage="1" sqref="CN5">
      <formula1>"1,2,3,4,5,6,7,8,9,10,11,12,13,14,15,16"</formula1>
    </dataValidation>
    <dataValidation type="list" allowBlank="1" showInputMessage="1" showErrorMessage="1" sqref="CK1">
      <formula1>"TC358764/65, TC358774/75"</formula1>
    </dataValidation>
    <dataValidation type="list" allowBlank="1" showInputMessage="1" showErrorMessage="1" sqref="CN4">
      <formula1>"1,2,4"</formula1>
    </dataValidation>
  </dataValidations>
  <pageMargins left="0.75" right="0.75" top="1" bottom="1" header="0.512" footer="0.512"/>
  <pageSetup paperSize="9" orientation="portrait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indexed="12"/>
  </sheetPr>
  <dimension ref="A1:CV71"/>
  <sheetViews>
    <sheetView showGridLines="0" tabSelected="1" zoomScale="85" zoomScaleNormal="85" zoomScaleSheetLayoutView="60" workbookViewId="0">
      <selection activeCell="CN5" sqref="CN5"/>
    </sheetView>
  </sheetViews>
  <sheetFormatPr defaultColWidth="9" defaultRowHeight="15" customHeight="1"/>
  <cols>
    <col min="1" max="1" width="5" customWidth="1"/>
    <col min="2" max="2" width="6.625" customWidth="1"/>
    <col min="3" max="4" width="1.625" customWidth="1"/>
    <col min="5" max="5" width="4" customWidth="1"/>
    <col min="6" max="19" width="1.625" customWidth="1"/>
    <col min="20" max="20" width="3" customWidth="1"/>
    <col min="21" max="21" width="1.625" customWidth="1"/>
    <col min="22" max="22" width="1.75" customWidth="1"/>
    <col min="23" max="85" width="1.625" customWidth="1"/>
    <col min="87" max="87" width="18.625" customWidth="1"/>
    <col min="88" max="88" width="12.875" customWidth="1"/>
    <col min="89" max="89" width="12" customWidth="1"/>
    <col min="90" max="90" width="11.75" customWidth="1"/>
    <col min="91" max="91" width="29.25" customWidth="1"/>
    <col min="92" max="92" width="8.25" customWidth="1"/>
    <col min="93" max="93" width="29" customWidth="1"/>
    <col min="94" max="94" width="9.25"/>
    <col min="95" max="95" width="11.625" customWidth="1"/>
    <col min="96" max="97" width="11.375" customWidth="1"/>
    <col min="98" max="98" width="5.75"/>
  </cols>
  <sheetData>
    <row r="1" ht="16.5" customHeight="1" spans="1:89">
      <c r="A1" s="29" t="s">
        <v>40</v>
      </c>
      <c r="CI1" s="1" t="s">
        <v>64</v>
      </c>
      <c r="CK1" s="220" t="s">
        <v>65</v>
      </c>
    </row>
    <row r="2" customHeight="1" spans="29:98">
      <c r="AC2" t="s">
        <v>66</v>
      </c>
      <c r="AH2" t="s">
        <v>67</v>
      </c>
      <c r="AX2" t="s">
        <v>68</v>
      </c>
      <c r="BS2" t="s">
        <v>69</v>
      </c>
      <c r="CI2" s="189" t="s">
        <v>70</v>
      </c>
      <c r="CJ2" s="190"/>
      <c r="CK2" s="190"/>
      <c r="CL2" s="221" t="s">
        <v>71</v>
      </c>
      <c r="CM2" s="222" t="s">
        <v>72</v>
      </c>
      <c r="CN2" s="223"/>
      <c r="CO2" s="264" t="s">
        <v>73</v>
      </c>
      <c r="CP2" s="253" t="s">
        <v>71</v>
      </c>
      <c r="CQ2" s="253" t="s">
        <v>74</v>
      </c>
      <c r="CR2" s="253" t="s">
        <v>75</v>
      </c>
      <c r="CS2" s="253" t="s">
        <v>76</v>
      </c>
      <c r="CT2" s="291" t="s">
        <v>77</v>
      </c>
    </row>
    <row r="3" customHeight="1" spans="28:98">
      <c r="AB3" t="s">
        <v>78</v>
      </c>
      <c r="AH3" t="s">
        <v>78</v>
      </c>
      <c r="AX3" t="s">
        <v>78</v>
      </c>
      <c r="BS3" t="s">
        <v>78</v>
      </c>
      <c r="CI3" s="191" t="s">
        <v>79</v>
      </c>
      <c r="CJ3" s="192">
        <v>205</v>
      </c>
      <c r="CK3" s="224" t="s">
        <v>273</v>
      </c>
      <c r="CL3" s="225" t="str">
        <f>IF(CJ3&gt;=37.5,IF(CK1="TC358764/65",IF(CJ3&lt;=400,"OK","NG"),IF(CJ3&lt;=500,"OK","NG")),"NG")</f>
        <v>OK</v>
      </c>
      <c r="CM3" s="46" t="s">
        <v>81</v>
      </c>
      <c r="CN3" s="192">
        <v>70</v>
      </c>
      <c r="CO3" s="14" t="s">
        <v>80</v>
      </c>
      <c r="CP3" s="14"/>
      <c r="CQ3" s="265"/>
      <c r="CR3" s="265"/>
      <c r="CS3" s="265"/>
      <c r="CT3" s="226"/>
    </row>
    <row r="4" customHeight="1" spans="21:98">
      <c r="U4" t="s">
        <v>82</v>
      </c>
      <c r="AC4" s="162">
        <v>8</v>
      </c>
      <c r="AD4" s="163"/>
      <c r="AE4" s="163"/>
      <c r="AF4" s="164"/>
      <c r="AH4" s="162">
        <v>156</v>
      </c>
      <c r="AI4" s="163"/>
      <c r="AJ4" s="163"/>
      <c r="AK4" s="164"/>
      <c r="AX4" s="162">
        <v>1024</v>
      </c>
      <c r="AY4" s="163"/>
      <c r="AZ4" s="163"/>
      <c r="BA4" s="164"/>
      <c r="BS4" s="162">
        <v>156</v>
      </c>
      <c r="BT4" s="163"/>
      <c r="BU4" s="163"/>
      <c r="BV4" s="164"/>
      <c r="CI4" s="191" t="s">
        <v>83</v>
      </c>
      <c r="CJ4" s="193">
        <f>CJ3/4</f>
        <v>51.25</v>
      </c>
      <c r="CK4" s="224" t="s">
        <v>273</v>
      </c>
      <c r="CL4" s="226"/>
      <c r="CM4" s="46" t="s">
        <v>84</v>
      </c>
      <c r="CN4" s="227">
        <v>1</v>
      </c>
      <c r="CO4" s="14" t="s">
        <v>85</v>
      </c>
      <c r="CP4" s="266"/>
      <c r="CQ4" s="267">
        <f>IF(CN4=2,1*1024,IF(CN4=4,2*1024,0))</f>
        <v>0</v>
      </c>
      <c r="CR4" s="265"/>
      <c r="CS4" s="265"/>
      <c r="CT4" s="226"/>
    </row>
    <row r="5" customHeight="1" spans="21:100">
      <c r="U5" s="147" t="s">
        <v>86</v>
      </c>
      <c r="V5" s="148"/>
      <c r="W5" s="148"/>
      <c r="X5" s="149"/>
      <c r="Y5" s="16">
        <f>IF(U5="H",131072,0)</f>
        <v>0</v>
      </c>
      <c r="AC5" s="7"/>
      <c r="AF5" s="39"/>
      <c r="AG5" s="7"/>
      <c r="AL5" s="7"/>
      <c r="BN5" s="7"/>
      <c r="CB5" s="7"/>
      <c r="CI5" s="191" t="s">
        <v>87</v>
      </c>
      <c r="CJ5" s="194">
        <v>4</v>
      </c>
      <c r="CK5" s="14" t="s">
        <v>88</v>
      </c>
      <c r="CL5" s="226"/>
      <c r="CM5" s="46" t="s">
        <v>89</v>
      </c>
      <c r="CN5" s="227">
        <v>4</v>
      </c>
      <c r="CO5" s="14" t="s">
        <v>90</v>
      </c>
      <c r="CP5" s="268" t="str">
        <f>IF(CK1="TC358764/65",CU5,CV5)</f>
        <v>OK</v>
      </c>
      <c r="CQ5" s="269">
        <f>IF(CN5=16,0,CN5*2^4)</f>
        <v>64</v>
      </c>
      <c r="CR5" s="270">
        <f>IF(CN5=3,0*2^8,IF(CN5=4,1*2^8,IF(CN5=6,2*2^8,IF(CN5=12,3*2^8,0))))</f>
        <v>256</v>
      </c>
      <c r="CS5" s="265"/>
      <c r="CT5" s="226"/>
      <c r="CU5" s="186" t="str">
        <f>IF(CN5=3,"OK",IF(CN5=4,"OK",IF(CN5=6,"OK",IF(CN5=12,"OK","NG"))))</f>
        <v>OK</v>
      </c>
      <c r="CV5" s="186" t="str">
        <f>IF(CN5&gt;0,IF(CN5&lt;17,"OK","NG"),"NG")</f>
        <v>OK</v>
      </c>
    </row>
    <row r="6" customHeight="1" spans="17:100">
      <c r="Q6" t="s">
        <v>91</v>
      </c>
      <c r="U6" s="39"/>
      <c r="V6" s="39"/>
      <c r="W6" s="39"/>
      <c r="X6" s="39"/>
      <c r="Y6" s="5"/>
      <c r="Z6" s="5"/>
      <c r="AA6" s="5"/>
      <c r="AB6" s="23"/>
      <c r="AC6" s="19"/>
      <c r="AD6" s="8"/>
      <c r="AE6" s="8"/>
      <c r="AF6" s="20"/>
      <c r="AG6" s="5"/>
      <c r="AH6" s="5"/>
      <c r="AI6" s="5"/>
      <c r="AJ6" s="5"/>
      <c r="AK6" s="5"/>
      <c r="AL6" s="6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6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19"/>
      <c r="CC6" s="8"/>
      <c r="CD6" s="20"/>
      <c r="CE6" s="5"/>
      <c r="CF6" s="5"/>
      <c r="CI6" s="195" t="s">
        <v>92</v>
      </c>
      <c r="CJ6" s="196" t="s">
        <v>93</v>
      </c>
      <c r="CK6" s="228">
        <f>IF(CJ6="RGB565",16,IF(CJ6="pRGB666",18,24))</f>
        <v>24</v>
      </c>
      <c r="CL6" s="226"/>
      <c r="CM6" s="229" t="s">
        <v>94</v>
      </c>
      <c r="CN6" s="213">
        <f>IF(CN7="DSI",CJ3/CN4/CN5,CN3)</f>
        <v>51.25</v>
      </c>
      <c r="CO6" s="14" t="s">
        <v>80</v>
      </c>
      <c r="CP6" s="268" t="str">
        <f>IF(CN6&gt;CS6,"NG","OK")</f>
        <v>OK</v>
      </c>
      <c r="CQ6" s="271">
        <f>IF(CN6&gt;=60,6,IF(CN6&gt;=30,45,91))</f>
        <v>45</v>
      </c>
      <c r="CR6" s="270">
        <f>IF(CN11="Single",CN6,CN6*2)</f>
        <v>51.25</v>
      </c>
      <c r="CS6" s="97">
        <f>IF(CK1="TC358764/65",85,135)</f>
        <v>135</v>
      </c>
      <c r="CT6" s="226"/>
      <c r="CU6" s="186"/>
      <c r="CV6" s="186"/>
    </row>
    <row r="7" customHeight="1" spans="29:98">
      <c r="AC7" s="6"/>
      <c r="AL7" s="7"/>
      <c r="BN7" s="7"/>
      <c r="CI7" s="195" t="s">
        <v>95</v>
      </c>
      <c r="CJ7" s="196" t="s">
        <v>96</v>
      </c>
      <c r="CK7" s="230">
        <f>CJ3*2*CJ5/CK6</f>
        <v>68.3333333333333</v>
      </c>
      <c r="CL7" s="226"/>
      <c r="CM7" s="229" t="s">
        <v>97</v>
      </c>
      <c r="CN7" s="231" t="s">
        <v>98</v>
      </c>
      <c r="CO7" s="14"/>
      <c r="CP7" s="14"/>
      <c r="CQ7" s="271"/>
      <c r="CR7" s="265"/>
      <c r="CS7" s="265"/>
      <c r="CT7" s="226"/>
    </row>
    <row r="8" customHeight="1" spans="13:98">
      <c r="M8" s="133" t="s">
        <v>99</v>
      </c>
      <c r="U8" t="s">
        <v>82</v>
      </c>
      <c r="AC8" s="7"/>
      <c r="AL8" s="9"/>
      <c r="BN8" s="7"/>
      <c r="CI8" s="195" t="s">
        <v>100</v>
      </c>
      <c r="CJ8" s="192">
        <v>80.825</v>
      </c>
      <c r="CK8" s="232" t="s">
        <v>80</v>
      </c>
      <c r="CL8" s="226"/>
      <c r="CM8" s="229" t="s">
        <v>101</v>
      </c>
      <c r="CN8" s="233" t="s">
        <v>102</v>
      </c>
      <c r="CO8" s="14"/>
      <c r="CP8" s="14"/>
      <c r="CQ8" s="272">
        <f>IF(CN8="Frame",16,0)</f>
        <v>0</v>
      </c>
      <c r="CR8" s="273">
        <f>IF(CN8="Frame",1,IF(CJ9="SYNC_EVENT",1,0))</f>
        <v>1</v>
      </c>
      <c r="CS8" s="265"/>
      <c r="CT8" s="226"/>
    </row>
    <row r="9" customHeight="1" spans="17:98">
      <c r="Q9" t="s">
        <v>103</v>
      </c>
      <c r="U9" s="147" t="s">
        <v>104</v>
      </c>
      <c r="V9" s="148"/>
      <c r="W9" s="148"/>
      <c r="X9" s="149"/>
      <c r="Y9" s="153">
        <f>IF(U9="L",262144,0)</f>
        <v>0</v>
      </c>
      <c r="Z9" s="8"/>
      <c r="AA9" s="8"/>
      <c r="AB9" s="8"/>
      <c r="AC9" s="9"/>
      <c r="AD9" s="8"/>
      <c r="AE9" s="8"/>
      <c r="AF9" s="8"/>
      <c r="AG9" s="8"/>
      <c r="AH9" s="8"/>
      <c r="AI9" s="8"/>
      <c r="AJ9" s="8"/>
      <c r="AK9" s="20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79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I9" s="195" t="s">
        <v>105</v>
      </c>
      <c r="CJ9" s="197" t="s">
        <v>274</v>
      </c>
      <c r="CK9" s="14"/>
      <c r="CL9" s="234">
        <f>IF(CJ9="SYNC_EVENT",32,0)</f>
        <v>32</v>
      </c>
      <c r="CM9" s="46" t="s">
        <v>107</v>
      </c>
      <c r="CN9" s="231" t="s">
        <v>93</v>
      </c>
      <c r="CO9" s="14"/>
      <c r="CP9" s="14"/>
      <c r="CQ9" s="267">
        <f>IF(CN9="RGB888",256,0)</f>
        <v>256</v>
      </c>
      <c r="CR9" s="265"/>
      <c r="CS9" s="265"/>
      <c r="CT9" s="226"/>
    </row>
    <row r="10" customHeight="1" spans="29:98">
      <c r="AC10" s="7"/>
      <c r="CF10" s="5"/>
      <c r="CI10" s="198" t="s">
        <v>109</v>
      </c>
      <c r="CJ10" s="192">
        <v>70</v>
      </c>
      <c r="CK10" s="232" t="s">
        <v>110</v>
      </c>
      <c r="CL10" s="235" t="str">
        <f>IF(CJ10&lt;50,"NG","OK")</f>
        <v>OK</v>
      </c>
      <c r="CM10" s="46" t="s">
        <v>111</v>
      </c>
      <c r="CN10" s="231" t="s">
        <v>112</v>
      </c>
      <c r="CO10" s="14"/>
      <c r="CP10" s="14"/>
      <c r="CQ10" s="267">
        <f>IF(CN10="ON",1,0)</f>
        <v>0</v>
      </c>
      <c r="CR10" s="265"/>
      <c r="CS10" s="265"/>
      <c r="CT10" s="226"/>
    </row>
    <row r="11" customHeight="1" spans="21:98">
      <c r="U11" t="s">
        <v>113</v>
      </c>
      <c r="Z11" s="7"/>
      <c r="AC11" s="7"/>
      <c r="CI11" s="199" t="s">
        <v>114</v>
      </c>
      <c r="CJ11" s="192">
        <v>70</v>
      </c>
      <c r="CK11" s="14" t="s">
        <v>110</v>
      </c>
      <c r="CL11" s="236" t="str">
        <f>IF(CJ11&lt;CK14,"NG",IF(CJ11&gt;CL14,"NG","OK"))</f>
        <v>OK</v>
      </c>
      <c r="CM11" s="229" t="s">
        <v>115</v>
      </c>
      <c r="CN11" s="231" t="s">
        <v>116</v>
      </c>
      <c r="CO11" s="14"/>
      <c r="CP11" s="14"/>
      <c r="CQ11" s="267">
        <f>IF(CN11="Dual",1*2,0)</f>
        <v>0</v>
      </c>
      <c r="CR11" s="265"/>
      <c r="CS11" s="265"/>
      <c r="CT11" s="226"/>
    </row>
    <row r="12" customHeight="1" spans="20:99">
      <c r="T12" t="s">
        <v>78</v>
      </c>
      <c r="Z12" s="7"/>
      <c r="AC12" s="7"/>
      <c r="CI12" s="199" t="s">
        <v>117</v>
      </c>
      <c r="CJ12" s="192">
        <v>200</v>
      </c>
      <c r="CK12" s="14" t="s">
        <v>110</v>
      </c>
      <c r="CL12" s="236" t="str">
        <f>IF(CJ11+CJ12&gt;=CK15,"OK","NG")</f>
        <v>OK</v>
      </c>
      <c r="CM12" s="229" t="s">
        <v>118</v>
      </c>
      <c r="CN12" s="231" t="s">
        <v>119</v>
      </c>
      <c r="CO12" s="274" t="s">
        <v>275</v>
      </c>
      <c r="CP12" s="14"/>
      <c r="CQ12" s="275">
        <f>IF(CN12="Reduced",1024,0)</f>
        <v>0</v>
      </c>
      <c r="CR12" s="14"/>
      <c r="CS12" s="14"/>
      <c r="CT12" s="226"/>
      <c r="CU12" s="292">
        <f>CQ6+CQ12</f>
        <v>45</v>
      </c>
    </row>
    <row r="13" customHeight="1" spans="21:98">
      <c r="U13" s="150">
        <v>63</v>
      </c>
      <c r="V13" s="151"/>
      <c r="W13" s="151"/>
      <c r="X13" s="152"/>
      <c r="Y13" s="16">
        <f>U13*1048576</f>
        <v>66060288</v>
      </c>
      <c r="Z13" s="7"/>
      <c r="CI13" s="200"/>
      <c r="CJ13" s="39"/>
      <c r="CK13" s="237" t="s">
        <v>75</v>
      </c>
      <c r="CL13" s="238" t="s">
        <v>76</v>
      </c>
      <c r="CM13" s="229" t="s">
        <v>120</v>
      </c>
      <c r="CN13" s="239">
        <f>ROUNDUP(CJ10/(1/CJ4*1000),0)-1</f>
        <v>3</v>
      </c>
      <c r="CO13" s="276"/>
      <c r="CP13" s="277" t="str">
        <f>IF(CQ13&gt;=CR13,IF(CQ13&lt;=CS13,"OK","NG"),"NG")</f>
        <v>OK</v>
      </c>
      <c r="CQ13" s="278">
        <f>CN13*1/CJ4*1000</f>
        <v>58.5365853658537</v>
      </c>
      <c r="CR13" s="279">
        <f>CJ10*2/3</f>
        <v>46.6666666666667</v>
      </c>
      <c r="CS13" s="279">
        <f>CJ10*3/2</f>
        <v>105</v>
      </c>
      <c r="CT13" s="293" t="s">
        <v>276</v>
      </c>
    </row>
    <row r="14" customHeight="1" spans="26:98">
      <c r="Z14" s="7"/>
      <c r="CI14" s="201" t="s">
        <v>114</v>
      </c>
      <c r="CJ14" s="202" t="s">
        <v>110</v>
      </c>
      <c r="CK14" s="240">
        <f>40+4*1/(CJ3*2)*1000</f>
        <v>49.7560975609756</v>
      </c>
      <c r="CL14" s="241">
        <f>85+6*1/(CJ3*2)*1000</f>
        <v>99.6341463414634</v>
      </c>
      <c r="CM14" s="179" t="s">
        <v>121</v>
      </c>
      <c r="CN14" s="242">
        <f>ROUNDUP((CJ11+CJ12/2)/(1/CJ4*1000),0)-5</f>
        <v>4</v>
      </c>
      <c r="CO14" s="14"/>
      <c r="CP14" s="277" t="str">
        <f>IF(CQ14&gt;=CR14,IF(CQ14&lt;=CS14,"OK","NG"),"NG")</f>
        <v>OK</v>
      </c>
      <c r="CQ14" s="280">
        <f>(CN14+4)*1/CJ4*1000</f>
        <v>156.09756097561</v>
      </c>
      <c r="CR14" s="281">
        <f>85+6*1/(CJ3*2)*1000</f>
        <v>99.6341463414634</v>
      </c>
      <c r="CS14" s="281">
        <f>CJ11+CJ12</f>
        <v>270</v>
      </c>
      <c r="CT14" s="226" t="s">
        <v>110</v>
      </c>
    </row>
    <row r="15" customHeight="1" spans="26:98">
      <c r="Z15" s="154"/>
      <c r="AF15" t="s">
        <v>123</v>
      </c>
      <c r="AT15" t="s">
        <v>124</v>
      </c>
      <c r="BN15" t="s">
        <v>125</v>
      </c>
      <c r="CI15" s="203" t="s">
        <v>114</v>
      </c>
      <c r="CJ15" s="22" t="s">
        <v>110</v>
      </c>
      <c r="CK15" s="243">
        <f>145+4*1/(CJ3*2)*1000</f>
        <v>154.756097560976</v>
      </c>
      <c r="CL15" s="244"/>
      <c r="CM15" s="180"/>
      <c r="CN15" s="245"/>
      <c r="CO15" s="14"/>
      <c r="CP15" s="277" t="str">
        <f>IF(CQ15&gt;=CR15,IF(CQ15&lt;=CS15,"OK","NG"),"NG")</f>
        <v>OK</v>
      </c>
      <c r="CQ15" s="282">
        <f>(CN14+5)*1/CJ4*1000</f>
        <v>175.609756097561</v>
      </c>
      <c r="CR15" s="281">
        <f>85+6*1/(CJ3*2)*1000</f>
        <v>99.6341463414634</v>
      </c>
      <c r="CS15" s="281">
        <f>CJ11+CJ12</f>
        <v>270</v>
      </c>
      <c r="CT15" s="226" t="s">
        <v>110</v>
      </c>
    </row>
    <row r="16" customHeight="1" spans="26:98">
      <c r="Z16" s="7"/>
      <c r="AG16" t="str">
        <f>IF(CJ7="H-PCLK","(*H-PCLK)","(ns)")</f>
        <v>(ns)</v>
      </c>
      <c r="AS16" t="str">
        <f>IF(CJ7="H-PCLK","(Pixel Count)","     (ns)")</f>
        <v>     (ns)</v>
      </c>
      <c r="BN16" t="str">
        <f>IF(CJ7="H-PCLK","(*H-PCLK)","     (ns)")</f>
        <v>     (ns)</v>
      </c>
      <c r="CI16" s="442" t="s">
        <v>126</v>
      </c>
      <c r="CJ16" s="42"/>
      <c r="CK16" s="42"/>
      <c r="CL16" s="246"/>
      <c r="CM16" s="5" t="s">
        <v>121</v>
      </c>
      <c r="CN16" s="247">
        <v>5</v>
      </c>
      <c r="CO16" s="14"/>
      <c r="CP16" s="283" t="str">
        <f>IF(CQ16&gt;=CR16,IF(CQ16&lt;=CS16,"OK","NG"),"NG")</f>
        <v>OK</v>
      </c>
      <c r="CQ16" s="282">
        <f>(CN16+4)*1/CJ4*1000</f>
        <v>175.609756097561</v>
      </c>
      <c r="CR16" s="281">
        <f>85+6*1/(CJ3*2)*1000</f>
        <v>99.6341463414634</v>
      </c>
      <c r="CS16" s="281">
        <f>CJ11+CJ12</f>
        <v>270</v>
      </c>
      <c r="CT16" s="226" t="s">
        <v>110</v>
      </c>
    </row>
    <row r="17" customHeight="1" spans="4:98">
      <c r="D17" s="133" t="s">
        <v>99</v>
      </c>
      <c r="Z17" s="7"/>
      <c r="AD17" s="39"/>
      <c r="AF17" s="162">
        <v>240</v>
      </c>
      <c r="AG17" s="163"/>
      <c r="AH17" s="163"/>
      <c r="AI17" s="164"/>
      <c r="AT17" s="176">
        <f>IF(CJ7="H-PCLK",AX4,CK23)</f>
        <v>15014.6341463415</v>
      </c>
      <c r="AU17" s="177"/>
      <c r="AV17" s="177"/>
      <c r="AW17" s="178"/>
      <c r="BO17" s="176">
        <f>CJ21</f>
        <v>10969.756097561</v>
      </c>
      <c r="BP17" s="177"/>
      <c r="BQ17" s="177"/>
      <c r="BR17" s="178"/>
      <c r="CI17" s="204"/>
      <c r="CJ17" s="205"/>
      <c r="CK17" s="205"/>
      <c r="CL17" s="248"/>
      <c r="CM17" s="249" t="s">
        <v>127</v>
      </c>
      <c r="CN17" s="250"/>
      <c r="CO17" s="205"/>
      <c r="CP17" s="284" t="str">
        <f>IF(CQ17&gt;=CR17,IF(CQ17&lt;=CS17,"OK","NG"),"NG")</f>
        <v>OK</v>
      </c>
      <c r="CQ17" s="211">
        <f>(CN16+5)*1/CJ4*1000</f>
        <v>195.121951219512</v>
      </c>
      <c r="CR17" s="211">
        <f>85+6*1/(CJ3*2)*1000</f>
        <v>99.6341463414634</v>
      </c>
      <c r="CS17" s="211">
        <f>CJ11+CJ12</f>
        <v>270</v>
      </c>
      <c r="CT17" s="248" t="s">
        <v>110</v>
      </c>
    </row>
    <row r="18" customHeight="1" spans="2:91">
      <c r="B18" t="s">
        <v>82</v>
      </c>
      <c r="Z18" s="9"/>
      <c r="AD18" s="8"/>
      <c r="AJ18" s="9"/>
      <c r="BI18" s="9"/>
      <c r="BY18" s="9"/>
      <c r="CI18" s="1" t="s">
        <v>128</v>
      </c>
      <c r="CM18" s="251" t="s">
        <v>129</v>
      </c>
    </row>
    <row r="19" customHeight="1" spans="2:97">
      <c r="B19" s="128" t="s">
        <v>86</v>
      </c>
      <c r="C19" s="16">
        <f>IF(B19="H",524288,0)</f>
        <v>0</v>
      </c>
      <c r="E19" s="42"/>
      <c r="M19" s="133" t="s">
        <v>130</v>
      </c>
      <c r="U19" s="45"/>
      <c r="V19" s="45"/>
      <c r="W19" s="45"/>
      <c r="X19" s="45"/>
      <c r="Y19" s="45"/>
      <c r="Z19" s="155"/>
      <c r="AA19" s="45"/>
      <c r="AB19" s="45"/>
      <c r="AC19" s="45"/>
      <c r="AD19" s="165"/>
      <c r="AE19" s="45"/>
      <c r="AF19" s="45"/>
      <c r="AG19" s="45"/>
      <c r="AH19" s="45"/>
      <c r="AI19" s="45"/>
      <c r="AJ19" s="37"/>
      <c r="AK19" s="37"/>
      <c r="AL19" s="37"/>
      <c r="AM19" s="37"/>
      <c r="AN19" s="37"/>
      <c r="AO19" s="37"/>
      <c r="AP19" s="37"/>
      <c r="AQ19" s="37" t="s">
        <v>131</v>
      </c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155"/>
      <c r="BZ19" s="45"/>
      <c r="CA19" s="45"/>
      <c r="CB19" s="45"/>
      <c r="CC19" s="165"/>
      <c r="CD19" s="45"/>
      <c r="CE19" s="45"/>
      <c r="CF19" s="45"/>
      <c r="CI19" s="189" t="s">
        <v>70</v>
      </c>
      <c r="CJ19" s="206" t="str">
        <f>IF(CJ7="H-PCLK","HPCLK(dec)","(ns)")</f>
        <v>(ns)</v>
      </c>
      <c r="CK19" s="212" t="s">
        <v>132</v>
      </c>
      <c r="CL19" s="252" t="s">
        <v>71</v>
      </c>
      <c r="CM19" s="222" t="s">
        <v>72</v>
      </c>
      <c r="CN19" s="253" t="s">
        <v>133</v>
      </c>
      <c r="CO19" s="264" t="s">
        <v>73</v>
      </c>
      <c r="CP19" s="253" t="s">
        <v>132</v>
      </c>
      <c r="CQ19" s="253" t="s">
        <v>134</v>
      </c>
      <c r="CR19" s="285" t="s">
        <v>71</v>
      </c>
      <c r="CS19" s="294" t="s">
        <v>135</v>
      </c>
    </row>
    <row r="20" customHeight="1" spans="5:97">
      <c r="E20" s="42"/>
      <c r="Z20" t="s">
        <v>136</v>
      </c>
      <c r="AD20" t="str">
        <f>IF(CJ9="SYNC_PULSE","HSE","")</f>
        <v/>
      </c>
      <c r="BY20" t="s">
        <v>136</v>
      </c>
      <c r="CC20" t="str">
        <f>IF(CJ9="SYNC_PULSE","HSE","")</f>
        <v/>
      </c>
      <c r="CI20" s="195" t="s">
        <v>137</v>
      </c>
      <c r="CJ20" s="207">
        <f>AF17</f>
        <v>240</v>
      </c>
      <c r="CK20" s="210">
        <f>IF(CJ7="H-PCLK",(AF17*1/CJ8)*1000,AF17)</f>
        <v>240</v>
      </c>
      <c r="CL20" s="226"/>
      <c r="CM20" s="191" t="s">
        <v>138</v>
      </c>
      <c r="CN20" s="213">
        <f>AH4</f>
        <v>156</v>
      </c>
      <c r="CO20" s="14" t="s">
        <v>139</v>
      </c>
      <c r="CP20" s="210">
        <f>AH4*1/CR6*1000</f>
        <v>3043.90243902439</v>
      </c>
      <c r="CQ20" s="14"/>
      <c r="CR20" s="235" t="str">
        <f>IF(CN20&gt;510,"NG",IF(CN20&lt;0,"NG",IF(MOD(CN20,2)=1,"NG","OK")))</f>
        <v>OK</v>
      </c>
      <c r="CS20" s="46" t="s">
        <v>140</v>
      </c>
    </row>
    <row r="21" customHeight="1" spans="5:97">
      <c r="E21" s="42"/>
      <c r="T21" s="141"/>
      <c r="CI21" s="195" t="s">
        <v>141</v>
      </c>
      <c r="CJ21" s="207">
        <f>IF(CJ7="H-PCLK",ROUNDUP((CP26-CK25)/(1/CJ8*1000),0),CK21)</f>
        <v>10969.756097561</v>
      </c>
      <c r="CK21" s="210">
        <f>IF(CJ7="H-PCLK",(CJ21*1/CJ8)*1000,CP26-(CK22+CK20+CK23))</f>
        <v>10969.756097561</v>
      </c>
      <c r="CL21" s="235" t="str">
        <f>IF(CK21&lt;0,"NG","OK")</f>
        <v>OK</v>
      </c>
      <c r="CM21" s="191" t="s">
        <v>142</v>
      </c>
      <c r="CN21" s="213">
        <f>BS4</f>
        <v>156</v>
      </c>
      <c r="CO21" s="14" t="s">
        <v>139</v>
      </c>
      <c r="CP21" s="210">
        <f>BS4*1/CR6*1000</f>
        <v>3043.90243902439</v>
      </c>
      <c r="CQ21" s="14"/>
      <c r="CR21" s="235" t="str">
        <f>IF(CN21&gt;510,"NG",IF(CN21&lt;0,"NG",IF(MOD(CN21,2)=1,"NG","OK")))</f>
        <v>OK</v>
      </c>
      <c r="CS21" s="46" t="s">
        <v>140</v>
      </c>
    </row>
    <row r="22" customHeight="1" spans="5:97">
      <c r="E22" s="42"/>
      <c r="T22" s="141"/>
      <c r="CI22" s="208"/>
      <c r="CJ22" s="209"/>
      <c r="CK22" s="254"/>
      <c r="CL22" s="255"/>
      <c r="CM22" s="191" t="s">
        <v>144</v>
      </c>
      <c r="CN22" s="213">
        <f>AC4</f>
        <v>8</v>
      </c>
      <c r="CO22" s="14" t="s">
        <v>139</v>
      </c>
      <c r="CP22" s="210">
        <f>AC4*1/CR6*1000</f>
        <v>156.09756097561</v>
      </c>
      <c r="CQ22" s="14"/>
      <c r="CR22" s="235" t="str">
        <f>IF(CN22&gt;510,"NG",IF(CN22&lt;0,"NG",IF(MOD(CN22,2)=1,"NG","OK")))</f>
        <v>OK</v>
      </c>
      <c r="CS22" s="46" t="s">
        <v>140</v>
      </c>
    </row>
    <row r="23" customHeight="1" spans="5:97">
      <c r="E23" s="42"/>
      <c r="T23" s="141"/>
      <c r="CI23" s="195" t="s">
        <v>146</v>
      </c>
      <c r="CJ23" s="207">
        <f>IF(CJ7="H-PCLK",AX4,CK23)</f>
        <v>15014.6341463415</v>
      </c>
      <c r="CK23" s="210">
        <f>IF(CJ7="H-PCLK",(AX4*CK6)*1/(CJ3*2*CJ5)*1000,(AX4*CK6+8*6)*1/(CJ3*2*CJ5)*1000)</f>
        <v>15014.6341463415</v>
      </c>
      <c r="CL23" s="226"/>
      <c r="CM23" s="191" t="s">
        <v>147</v>
      </c>
      <c r="CN23" s="213">
        <f>AX4</f>
        <v>1024</v>
      </c>
      <c r="CO23" s="14" t="s">
        <v>148</v>
      </c>
      <c r="CP23" s="210">
        <f>AX4*1/CR6*1000</f>
        <v>19980.487804878</v>
      </c>
      <c r="CQ23" s="14"/>
      <c r="CR23" s="235" t="str">
        <f>IF(CN23&gt;2046,"NG",IF(CN23&lt;0,"NG",IF(MOD(CN23,2)=1,"NG","OK")))</f>
        <v>OK</v>
      </c>
      <c r="CS23" s="46" t="s">
        <v>140</v>
      </c>
    </row>
    <row r="24" customHeight="1" spans="2:97">
      <c r="B24" t="s">
        <v>149</v>
      </c>
      <c r="C24" s="134"/>
      <c r="D24" s="134"/>
      <c r="E24" s="23"/>
      <c r="R24" s="134"/>
      <c r="S24" s="142"/>
      <c r="T24" s="143"/>
      <c r="U24" t="s">
        <v>151</v>
      </c>
      <c r="Y24" s="156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82"/>
      <c r="CI24" s="191" t="s">
        <v>137</v>
      </c>
      <c r="CJ24" s="210">
        <f>CJ22+CJ20</f>
        <v>240</v>
      </c>
      <c r="CK24" s="210">
        <f>CK22+CK20</f>
        <v>240</v>
      </c>
      <c r="CL24" s="226"/>
      <c r="CM24" s="191" t="s">
        <v>153</v>
      </c>
      <c r="CN24" s="256"/>
      <c r="CO24" s="14"/>
      <c r="CP24" s="210">
        <f>CP20+CP22+CP28</f>
        <v>4409.75609756098</v>
      </c>
      <c r="CQ24" s="210">
        <f>CP24-CK24</f>
        <v>4169.75609756098</v>
      </c>
      <c r="CR24" s="235" t="str">
        <f>IF(CP24-CK24&gt;=0,"OK","NG")</f>
        <v>OK</v>
      </c>
      <c r="CS24" s="46" t="s">
        <v>140</v>
      </c>
    </row>
    <row r="25" customHeight="1" spans="2:97">
      <c r="B25" t="s">
        <v>150</v>
      </c>
      <c r="E25" s="136"/>
      <c r="T25" s="141"/>
      <c r="Y25" s="158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59"/>
      <c r="BU25" s="159"/>
      <c r="BV25" s="159"/>
      <c r="BW25" s="159"/>
      <c r="BX25" s="183"/>
      <c r="CI25" s="191" t="s">
        <v>277</v>
      </c>
      <c r="CJ25" s="210">
        <f>CJ24+CJ23</f>
        <v>15254.6341463415</v>
      </c>
      <c r="CK25" s="210">
        <f>CK24+CK23</f>
        <v>15254.6341463415</v>
      </c>
      <c r="CL25" s="226"/>
      <c r="CM25" s="191" t="s">
        <v>155</v>
      </c>
      <c r="CN25" s="256"/>
      <c r="CO25" s="14"/>
      <c r="CP25" s="210">
        <f>CP24+CP23</f>
        <v>24390.243902439</v>
      </c>
      <c r="CQ25" s="210">
        <f>CP25-CK25</f>
        <v>9135.60975609756</v>
      </c>
      <c r="CR25" s="235" t="str">
        <f>IF(CP25-CK25&gt;=0,"OK","NG")</f>
        <v>OK</v>
      </c>
      <c r="CS25" s="46" t="s">
        <v>140</v>
      </c>
    </row>
    <row r="26" customHeight="1" spans="2:97">
      <c r="B26" s="135">
        <v>6</v>
      </c>
      <c r="E26" s="136"/>
      <c r="T26" s="141"/>
      <c r="Y26" s="158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59"/>
      <c r="BU26" s="159"/>
      <c r="BV26" s="159"/>
      <c r="BW26" s="159"/>
      <c r="BX26" s="183"/>
      <c r="CI26" s="191" t="s">
        <v>156</v>
      </c>
      <c r="CJ26" s="210">
        <f>CJ25+CJ21</f>
        <v>26224.3902439024</v>
      </c>
      <c r="CK26" s="210">
        <f>CK25+CK21</f>
        <v>26224.3902439024</v>
      </c>
      <c r="CL26" s="226"/>
      <c r="CM26" s="191" t="s">
        <v>157</v>
      </c>
      <c r="CN26" s="215">
        <f>SUM(CN20:CN23)</f>
        <v>1344</v>
      </c>
      <c r="CO26" s="14"/>
      <c r="CP26" s="210">
        <f>SUM(CP20:CP23)</f>
        <v>26224.3902439024</v>
      </c>
      <c r="CQ26" s="286">
        <f>CK26-CP26</f>
        <v>0</v>
      </c>
      <c r="CR26" s="235" t="str">
        <f>IF(CN8="Line",IF(CK26-CP26&gt;=0,"OK","NG"),"Don't care")</f>
        <v>OK</v>
      </c>
      <c r="CS26" s="46" t="s">
        <v>140</v>
      </c>
    </row>
    <row r="27" customHeight="1" spans="5:97">
      <c r="E27" s="136"/>
      <c r="N27" t="s">
        <v>158</v>
      </c>
      <c r="R27" s="39"/>
      <c r="S27" s="136"/>
      <c r="T27" s="144"/>
      <c r="U27" t="str">
        <f>IF(CJ9="SYNC_PULSE","VSE","")</f>
        <v/>
      </c>
      <c r="Y27" s="158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59"/>
      <c r="BV27" s="159"/>
      <c r="BW27" s="159"/>
      <c r="BX27" s="183"/>
      <c r="CI27" s="195" t="s">
        <v>159</v>
      </c>
      <c r="CJ27" s="210">
        <f>CJ22+CJ20+CJ21</f>
        <v>11209.756097561</v>
      </c>
      <c r="CK27" s="257">
        <f>CK22+CK20+CK21</f>
        <v>11209.756097561</v>
      </c>
      <c r="CL27" s="226"/>
      <c r="CM27" s="195" t="s">
        <v>160</v>
      </c>
      <c r="CN27" s="193">
        <f>CN22+CN20+CN21</f>
        <v>320</v>
      </c>
      <c r="CO27" s="14"/>
      <c r="CP27" s="210">
        <f>CP22+CP20+CP21</f>
        <v>6243.90243902439</v>
      </c>
      <c r="CQ27" s="14"/>
      <c r="CR27" s="226"/>
      <c r="CS27" s="46" t="s">
        <v>140</v>
      </c>
    </row>
    <row r="28" customHeight="1" spans="5:99">
      <c r="E28" s="20"/>
      <c r="N28" t="s">
        <v>145</v>
      </c>
      <c r="T28" s="141"/>
      <c r="Y28" s="158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83"/>
      <c r="CI28" s="204"/>
      <c r="CJ28" s="211"/>
      <c r="CK28" s="211"/>
      <c r="CL28" s="248"/>
      <c r="CM28" s="216" t="s">
        <v>161</v>
      </c>
      <c r="CN28" s="258">
        <f>U13</f>
        <v>63</v>
      </c>
      <c r="CO28" s="205"/>
      <c r="CP28" s="287">
        <f>1/$CN$6*1000*(CN28-1)</f>
        <v>1209.75609756098</v>
      </c>
      <c r="CQ28" s="205"/>
      <c r="CR28" s="288" t="str">
        <f>IF(CK1="TC358764/65",CT28,CU28)</f>
        <v>OK</v>
      </c>
      <c r="CS28" s="46" t="s">
        <v>140</v>
      </c>
      <c r="CT28" s="186" t="str">
        <f>IF(U13&gt;0,IF(U13&lt;64,"OK","NG"),"NG")</f>
        <v>OK</v>
      </c>
      <c r="CU28" s="186" t="str">
        <f>IF(U13&gt;0,IF(U13&lt;1024,"OK","NG"),"NG")</f>
        <v>OK</v>
      </c>
    </row>
    <row r="29" customHeight="1" spans="2:76">
      <c r="B29" t="s">
        <v>162</v>
      </c>
      <c r="C29" s="134"/>
      <c r="D29" s="134"/>
      <c r="E29" s="42"/>
      <c r="N29" t="s">
        <v>150</v>
      </c>
      <c r="T29" s="141"/>
      <c r="Y29" s="158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59"/>
      <c r="BW29" s="159"/>
      <c r="BX29" s="183"/>
    </row>
    <row r="30" customHeight="1" spans="2:76">
      <c r="B30" t="s">
        <v>150</v>
      </c>
      <c r="E30" s="42"/>
      <c r="N30" s="138">
        <f>B26+B31</f>
        <v>22</v>
      </c>
      <c r="O30" s="139"/>
      <c r="P30" s="139"/>
      <c r="Q30" s="145"/>
      <c r="T30" s="141"/>
      <c r="Y30" s="158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59"/>
      <c r="BW30" s="159"/>
      <c r="BX30" s="183"/>
    </row>
    <row r="31" customHeight="1" spans="2:87">
      <c r="B31" s="135">
        <v>16</v>
      </c>
      <c r="E31" s="42"/>
      <c r="T31" s="141"/>
      <c r="Y31" s="158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59"/>
      <c r="BT31" s="159"/>
      <c r="BU31" s="159"/>
      <c r="BV31" s="159"/>
      <c r="BW31" s="159"/>
      <c r="BX31" s="183"/>
      <c r="CI31" s="1" t="s">
        <v>163</v>
      </c>
    </row>
    <row r="32" customHeight="1" spans="5:96">
      <c r="E32" s="42"/>
      <c r="T32" s="144"/>
      <c r="Y32" s="158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U32" s="159"/>
      <c r="BV32" s="159"/>
      <c r="BW32" s="159"/>
      <c r="BX32" s="183"/>
      <c r="CI32" s="189" t="s">
        <v>70</v>
      </c>
      <c r="CJ32" s="212" t="s">
        <v>164</v>
      </c>
      <c r="CK32" s="212" t="s">
        <v>165</v>
      </c>
      <c r="CL32" s="221"/>
      <c r="CM32" s="222" t="s">
        <v>72</v>
      </c>
      <c r="CN32" s="253" t="s">
        <v>164</v>
      </c>
      <c r="CO32" s="264" t="s">
        <v>73</v>
      </c>
      <c r="CP32" s="253" t="s">
        <v>165</v>
      </c>
      <c r="CQ32" s="253" t="s">
        <v>134</v>
      </c>
      <c r="CR32" s="285" t="s">
        <v>71</v>
      </c>
    </row>
    <row r="33" customHeight="1" spans="3:96">
      <c r="C33" s="134"/>
      <c r="D33" s="134"/>
      <c r="E33" s="137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42"/>
      <c r="T33" s="146"/>
      <c r="Y33" s="158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67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7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83"/>
      <c r="CI33" s="195" t="s">
        <v>158</v>
      </c>
      <c r="CJ33" s="213">
        <f>N30</f>
        <v>22</v>
      </c>
      <c r="CK33" s="14"/>
      <c r="CL33" s="226"/>
      <c r="CM33" s="191" t="s">
        <v>166</v>
      </c>
      <c r="CN33" s="213">
        <f>B31</f>
        <v>16</v>
      </c>
      <c r="CO33" s="14" t="s">
        <v>167</v>
      </c>
      <c r="CP33" s="281"/>
      <c r="CQ33" s="289"/>
      <c r="CR33" s="235" t="str">
        <f>IF(CN33&gt;255,"NG",IF(CN33&lt;0,"NG","OK"))</f>
        <v>OK</v>
      </c>
    </row>
    <row r="34" customHeight="1" spans="5:96">
      <c r="E34" s="42"/>
      <c r="T34" s="146"/>
      <c r="Y34" s="158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68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80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83"/>
      <c r="CI34" s="195" t="s">
        <v>168</v>
      </c>
      <c r="CJ34" s="213">
        <f>N49</f>
        <v>16</v>
      </c>
      <c r="CK34" s="14"/>
      <c r="CL34" s="226"/>
      <c r="CM34" s="191" t="s">
        <v>169</v>
      </c>
      <c r="CN34" s="213">
        <f>B49</f>
        <v>16</v>
      </c>
      <c r="CO34" s="14" t="s">
        <v>167</v>
      </c>
      <c r="CP34" s="281"/>
      <c r="CQ34" s="289"/>
      <c r="CR34" s="235" t="str">
        <f>IF(CN34&gt;255,"NG",IF(CN34&lt;0,"NG","OK"))</f>
        <v>OK</v>
      </c>
    </row>
    <row r="35" customHeight="1" spans="5:96">
      <c r="E35" s="42"/>
      <c r="T35" s="146"/>
      <c r="Y35" s="158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68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80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83"/>
      <c r="CI35" s="208"/>
      <c r="CJ35" s="214"/>
      <c r="CK35" s="259"/>
      <c r="CL35" s="255"/>
      <c r="CM35" s="191" t="s">
        <v>170</v>
      </c>
      <c r="CN35" s="213">
        <f>B26</f>
        <v>6</v>
      </c>
      <c r="CO35" s="14" t="s">
        <v>167</v>
      </c>
      <c r="CP35" s="281"/>
      <c r="CQ35" s="289"/>
      <c r="CR35" s="235" t="str">
        <f>IF(CJ35+CJ33&gt;CN35,IF(CN35&gt;=0,IF(CN35&lt;=255,"OK","NG"),"NG"),"NG")</f>
        <v>OK</v>
      </c>
    </row>
    <row r="36" customHeight="1" spans="5:96">
      <c r="E36" s="42"/>
      <c r="N36" t="s">
        <v>171</v>
      </c>
      <c r="T36" s="146"/>
      <c r="Y36" s="158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68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80"/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83"/>
      <c r="CI36" s="195" t="s">
        <v>171</v>
      </c>
      <c r="CJ36" s="213">
        <f>N39</f>
        <v>600</v>
      </c>
      <c r="CK36" s="14"/>
      <c r="CL36" s="226"/>
      <c r="CM36" s="191" t="s">
        <v>172</v>
      </c>
      <c r="CN36" s="213">
        <f>B39</f>
        <v>600</v>
      </c>
      <c r="CO36" s="14" t="s">
        <v>173</v>
      </c>
      <c r="CP36" s="281"/>
      <c r="CQ36" s="289"/>
      <c r="CR36" s="235" t="str">
        <f>IF(CN36&gt;=0,IF(CN36&lt;=2027,IF(CJ36=CN36,"OK","NG"),"NG"),"NG")</f>
        <v>OK</v>
      </c>
    </row>
    <row r="37" customHeight="1" spans="2:96">
      <c r="B37" t="s">
        <v>174</v>
      </c>
      <c r="E37" s="42"/>
      <c r="N37" t="s">
        <v>145</v>
      </c>
      <c r="T37" s="146"/>
      <c r="Y37" s="158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68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80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83"/>
      <c r="CI37" s="195" t="s">
        <v>158</v>
      </c>
      <c r="CJ37" s="215">
        <f>CJ35+CJ33</f>
        <v>22</v>
      </c>
      <c r="CK37" s="14"/>
      <c r="CL37" s="226"/>
      <c r="CM37" s="195" t="s">
        <v>175</v>
      </c>
      <c r="CN37" s="215">
        <f>CN35+CN33</f>
        <v>22</v>
      </c>
      <c r="CO37" s="14"/>
      <c r="CP37" s="281"/>
      <c r="CQ37" s="289"/>
      <c r="CR37" s="235"/>
    </row>
    <row r="38" customHeight="1" spans="2:96">
      <c r="B38" t="s">
        <v>150</v>
      </c>
      <c r="E38" s="42"/>
      <c r="N38" t="s">
        <v>150</v>
      </c>
      <c r="T38" s="146"/>
      <c r="Y38" s="158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68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80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83"/>
      <c r="CI38" s="195" t="s">
        <v>176</v>
      </c>
      <c r="CJ38" s="215">
        <f>SUM(CJ33:CJ36)</f>
        <v>638</v>
      </c>
      <c r="CK38" s="14">
        <f>CK26*CJ38/10^6</f>
        <v>16.7311609756098</v>
      </c>
      <c r="CL38" s="226"/>
      <c r="CM38" s="195" t="s">
        <v>177</v>
      </c>
      <c r="CN38" s="215">
        <f>SUM(CN33:CN36)</f>
        <v>638</v>
      </c>
      <c r="CO38" s="14"/>
      <c r="CP38" s="281">
        <f>CP26*CN38/10^6</f>
        <v>16.7311609756098</v>
      </c>
      <c r="CQ38" s="286">
        <f>(CK38-CP38)*10^6</f>
        <v>0</v>
      </c>
      <c r="CR38" s="235" t="str">
        <f>IF(CN8="Line","Don't care","&lt;- Check")</f>
        <v>Don't care</v>
      </c>
    </row>
    <row r="39" customHeight="1" spans="2:96">
      <c r="B39" s="135">
        <v>600</v>
      </c>
      <c r="E39" s="42"/>
      <c r="N39" s="138">
        <f>B39</f>
        <v>600</v>
      </c>
      <c r="O39" s="139"/>
      <c r="P39" s="139"/>
      <c r="Q39" s="145"/>
      <c r="T39" s="146"/>
      <c r="Y39" s="158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68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80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83"/>
      <c r="CI39" s="216" t="s">
        <v>178</v>
      </c>
      <c r="CJ39" s="217">
        <f>SUM(CJ33:CJ35)</f>
        <v>38</v>
      </c>
      <c r="CK39" s="205"/>
      <c r="CL39" s="248"/>
      <c r="CM39" s="216" t="s">
        <v>179</v>
      </c>
      <c r="CN39" s="217">
        <f>SUM(CN33:CN35)</f>
        <v>38</v>
      </c>
      <c r="CO39" s="205"/>
      <c r="CP39" s="211"/>
      <c r="CQ39" s="290"/>
      <c r="CR39" s="288"/>
    </row>
    <row r="40" customHeight="1" spans="5:76">
      <c r="E40" s="42"/>
      <c r="T40" s="146"/>
      <c r="Y40" s="158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68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80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83"/>
    </row>
    <row r="41" customHeight="1" spans="5:93">
      <c r="E41" s="42"/>
      <c r="T41" s="146"/>
      <c r="Y41" s="158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68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80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83"/>
      <c r="CI41" s="14" t="s">
        <v>180</v>
      </c>
      <c r="CJ41" s="215">
        <f>1/(CJ38*CK26)*10^9</f>
        <v>59.7687154799224</v>
      </c>
      <c r="CK41" s="14" t="s">
        <v>181</v>
      </c>
      <c r="CL41" s="14"/>
      <c r="CM41" s="232" t="s">
        <v>180</v>
      </c>
      <c r="CN41" s="215">
        <f>1/(CN38*CP26)*10^9</f>
        <v>59.7687154799224</v>
      </c>
      <c r="CO41" s="14" t="s">
        <v>181</v>
      </c>
    </row>
    <row r="42" customHeight="1" spans="5:76">
      <c r="E42" s="42"/>
      <c r="T42" s="146"/>
      <c r="Y42" s="158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68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80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83"/>
    </row>
    <row r="43" customHeight="1" spans="5:76">
      <c r="E43" s="42"/>
      <c r="T43" s="146"/>
      <c r="Y43" s="158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68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80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83"/>
    </row>
    <row r="44" customHeight="1" spans="5:91">
      <c r="E44" s="42"/>
      <c r="T44" s="146"/>
      <c r="Y44" s="158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68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80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83"/>
      <c r="CI44" s="1" t="s">
        <v>278</v>
      </c>
      <c r="CM44" s="260" t="s">
        <v>183</v>
      </c>
    </row>
    <row r="45" customHeight="1" spans="5:91">
      <c r="E45" s="42"/>
      <c r="T45" s="146"/>
      <c r="Y45" s="158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68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80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83"/>
      <c r="CI45" s="218" t="s">
        <v>184</v>
      </c>
      <c r="CJ45" s="218" t="s">
        <v>185</v>
      </c>
      <c r="CK45" s="218" t="s">
        <v>186</v>
      </c>
      <c r="CM45" s="261" t="str">
        <f>IF(CL21="NG","Error1: DSI cannot transfer 1line with required timing.","")</f>
        <v/>
      </c>
    </row>
    <row r="46" customHeight="1" spans="5:91">
      <c r="E46" s="42"/>
      <c r="N46" s="140" t="s">
        <v>168</v>
      </c>
      <c r="T46" s="146"/>
      <c r="Y46" s="158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70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71"/>
      <c r="BM46" s="181"/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83"/>
      <c r="CI46" s="14" t="s">
        <v>187</v>
      </c>
      <c r="CJ46" s="219" t="s">
        <v>188</v>
      </c>
      <c r="CK46" s="262" t="str">
        <f>DEC2HEX(ROUNDUP((5*CN13-3)/4,0)*65536+ROUNDUP(1.5*CN13,0),8)</f>
        <v>00030005</v>
      </c>
      <c r="CM46" s="261" t="str">
        <f>IF(CR25="NG","Error2: Data picking timing at LVDS is faster than data putting timing at DSI.","")</f>
        <v/>
      </c>
    </row>
    <row r="47" customHeight="1" spans="2:91">
      <c r="B47" t="s">
        <v>189</v>
      </c>
      <c r="C47" s="134"/>
      <c r="D47" s="134"/>
      <c r="E47" s="137"/>
      <c r="F47" s="134"/>
      <c r="G47" s="134"/>
      <c r="H47" s="134"/>
      <c r="I47" s="134"/>
      <c r="J47" s="134"/>
      <c r="K47" s="134"/>
      <c r="L47" s="134"/>
      <c r="M47" s="134"/>
      <c r="N47" t="s">
        <v>145</v>
      </c>
      <c r="O47" s="134"/>
      <c r="P47" s="134"/>
      <c r="Q47" s="134"/>
      <c r="R47" s="134"/>
      <c r="S47" s="142"/>
      <c r="T47" s="141"/>
      <c r="Y47" s="158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83"/>
      <c r="CI47" s="14" t="s">
        <v>190</v>
      </c>
      <c r="CJ47" s="219" t="s">
        <v>191</v>
      </c>
      <c r="CK47" s="262" t="str">
        <f>DEC2HEX(CN13,8)</f>
        <v>00000003</v>
      </c>
      <c r="CM47" s="261" t="str">
        <f>IF(CR24="NG","Error3: Data picking timing at LVDS is faster than data putting timing at DSI from the beginning of the line.","")</f>
        <v/>
      </c>
    </row>
    <row r="48" customHeight="1" spans="2:89">
      <c r="B48" t="s">
        <v>150</v>
      </c>
      <c r="E48" s="42"/>
      <c r="N48" t="s">
        <v>150</v>
      </c>
      <c r="T48" s="141"/>
      <c r="Y48" s="158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83"/>
      <c r="CI48" s="14" t="s">
        <v>192</v>
      </c>
      <c r="CJ48" s="219" t="s">
        <v>193</v>
      </c>
      <c r="CK48" s="262" t="str">
        <f>DEC2HEX(CN14,8)</f>
        <v>00000004</v>
      </c>
    </row>
    <row r="49" customHeight="1" spans="2:89">
      <c r="B49" s="135">
        <v>16</v>
      </c>
      <c r="E49" s="42"/>
      <c r="N49" s="138">
        <f>B49</f>
        <v>16</v>
      </c>
      <c r="O49" s="139"/>
      <c r="P49" s="139"/>
      <c r="Q49" s="145"/>
      <c r="T49" s="141"/>
      <c r="Y49" s="158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83"/>
      <c r="CI49" s="14" t="s">
        <v>194</v>
      </c>
      <c r="CJ49" s="219" t="s">
        <v>195</v>
      </c>
      <c r="CK49" s="262" t="str">
        <f>DEC2HEX(CN14,8)</f>
        <v>00000004</v>
      </c>
    </row>
    <row r="50" customHeight="1" spans="5:89">
      <c r="E50" s="42"/>
      <c r="T50" s="141"/>
      <c r="Y50" s="158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83"/>
      <c r="CI50" s="14" t="s">
        <v>196</v>
      </c>
      <c r="CJ50" s="219" t="s">
        <v>197</v>
      </c>
      <c r="CK50" s="262" t="str">
        <f>DEC2HEX(CN14,8)</f>
        <v>00000004</v>
      </c>
    </row>
    <row r="51" customHeight="1" spans="5:89">
      <c r="E51" s="42"/>
      <c r="T51" s="141"/>
      <c r="Y51" s="160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84"/>
      <c r="CI51" s="14" t="s">
        <v>198</v>
      </c>
      <c r="CJ51" s="219" t="s">
        <v>199</v>
      </c>
      <c r="CK51" s="262" t="str">
        <f>DEC2HEX(CN14,8)</f>
        <v>00000004</v>
      </c>
    </row>
    <row r="52" customHeight="1" spans="3:89">
      <c r="C52" s="134"/>
      <c r="D52" s="134"/>
      <c r="E52" s="23"/>
      <c r="F52" s="137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42"/>
      <c r="T52" s="143"/>
      <c r="U52" t="s">
        <v>151</v>
      </c>
      <c r="CI52" s="14" t="s">
        <v>200</v>
      </c>
      <c r="CJ52" s="219" t="s">
        <v>201</v>
      </c>
      <c r="CK52" s="262" t="str">
        <f>IF(CJ5=1,"00000003",IF(CJ5=2,"00000007",IF(CJ5=3,"0000000F","0000001F")))</f>
        <v>0000001F</v>
      </c>
    </row>
    <row r="53" customHeight="1" spans="5:89">
      <c r="E53" s="136"/>
      <c r="T53" s="141"/>
      <c r="CI53" s="14" t="s">
        <v>202</v>
      </c>
      <c r="CJ53" s="219" t="s">
        <v>203</v>
      </c>
      <c r="CK53" s="262" t="str">
        <f>IF(CJ5=1,"00000003",IF(CJ5=2,"00000007",IF(CJ5=3,"0000000F","0000001F")))</f>
        <v>0000001F</v>
      </c>
    </row>
    <row r="54" customHeight="1" spans="5:91">
      <c r="E54" s="136"/>
      <c r="T54" s="141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19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20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CJ54" s="54"/>
      <c r="CK54" s="54"/>
      <c r="CM54" s="263" t="s">
        <v>204</v>
      </c>
    </row>
    <row r="55" customHeight="1" spans="5:91">
      <c r="E55" s="136"/>
      <c r="T55" s="144"/>
      <c r="U55" t="str">
        <f>IF(CJ9="SYNC_PULSE","VSE","")</f>
        <v/>
      </c>
      <c r="Z55" t="s">
        <v>205</v>
      </c>
      <c r="CB55" s="186"/>
      <c r="CJ55" s="54"/>
      <c r="CK55" s="54"/>
      <c r="CM55" s="1" t="s">
        <v>206</v>
      </c>
    </row>
    <row r="56" customHeight="1" spans="5:91">
      <c r="E56" s="20"/>
      <c r="T56" s="141"/>
      <c r="Z56" t="s">
        <v>207</v>
      </c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CI56" s="14" t="s">
        <v>208</v>
      </c>
      <c r="CJ56" s="219" t="s">
        <v>209</v>
      </c>
      <c r="CK56" s="262" t="str">
        <f>DEC2HEX(CQ10+CQ8+CL9+CQ9+Y5+Y9+Y13+C19,8)</f>
        <v>03F00120</v>
      </c>
      <c r="CM56" t="s">
        <v>279</v>
      </c>
    </row>
    <row r="57" customHeight="1" spans="5:89">
      <c r="E57" s="42"/>
      <c r="T57" s="141"/>
      <c r="CI57" s="14" t="s">
        <v>211</v>
      </c>
      <c r="CJ57" s="219" t="s">
        <v>212</v>
      </c>
      <c r="CK57" s="262" t="str">
        <f>DEC2HEX(CN20*65536+CN22,8)</f>
        <v>009C0008</v>
      </c>
    </row>
    <row r="58" customHeight="1" spans="5:91">
      <c r="E58" s="42"/>
      <c r="T58" s="141"/>
      <c r="Z58" t="s">
        <v>213</v>
      </c>
      <c r="AH58" s="84"/>
      <c r="AI58" s="89"/>
      <c r="AJ58" s="89"/>
      <c r="AK58" s="90"/>
      <c r="AL58" s="172" t="s">
        <v>214</v>
      </c>
      <c r="AM58" s="173"/>
      <c r="AN58" s="173"/>
      <c r="AO58" s="175"/>
      <c r="AP58" s="172" t="s">
        <v>215</v>
      </c>
      <c r="AQ58" s="173"/>
      <c r="AR58" s="173"/>
      <c r="AS58" s="175"/>
      <c r="AT58" s="172" t="s">
        <v>216</v>
      </c>
      <c r="AU58" s="173"/>
      <c r="AV58" s="173"/>
      <c r="AW58" s="175"/>
      <c r="AX58" s="172" t="s">
        <v>217</v>
      </c>
      <c r="AY58" s="173"/>
      <c r="AZ58" s="173"/>
      <c r="BA58" s="175"/>
      <c r="BB58" s="172" t="s">
        <v>218</v>
      </c>
      <c r="BC58" s="173"/>
      <c r="BD58" s="173"/>
      <c r="BE58" s="175"/>
      <c r="BF58" s="172" t="s">
        <v>219</v>
      </c>
      <c r="BG58" s="173"/>
      <c r="BH58" s="173"/>
      <c r="BI58" s="175"/>
      <c r="BJ58" s="172" t="s">
        <v>220</v>
      </c>
      <c r="BK58" s="173"/>
      <c r="BL58" s="173"/>
      <c r="BM58" s="175"/>
      <c r="BN58" s="84"/>
      <c r="BO58" s="89"/>
      <c r="BP58" s="89"/>
      <c r="BQ58" s="90"/>
      <c r="CI58" s="14" t="s">
        <v>221</v>
      </c>
      <c r="CJ58" s="219" t="s">
        <v>222</v>
      </c>
      <c r="CK58" s="262" t="str">
        <f>DEC2HEX(CN21*65536+CN23,8)</f>
        <v>009C0400</v>
      </c>
      <c r="CM58" s="1" t="s">
        <v>223</v>
      </c>
    </row>
    <row r="59" customHeight="1" spans="38:91">
      <c r="AL59" s="174">
        <f>IF(LEFT(AL58)="R",0,IF(LEFT(AL58)="G",8,IF(LEFT(AL58)="B",16,IF(LEFT(AL58)="H",24,IF(LEFT(AL58)="V",25,IF(LEFT(AL58)="D",26,27))))))</f>
        <v>8</v>
      </c>
      <c r="AM59" s="174"/>
      <c r="AN59" s="174" t="str">
        <f>IF(AL59&gt;=24,0,RIGHT(AL58))</f>
        <v>0</v>
      </c>
      <c r="AO59" s="174">
        <f>AL59+AN59</f>
        <v>8</v>
      </c>
      <c r="AP59" s="174">
        <f>IF(LEFT(AP58)="R",0,IF(LEFT(AP58)="G",8,IF(LEFT(AP58)="B",16,IF(LEFT(AP58)="H",24,IF(LEFT(AP58)="V",25,IF(LEFT(AP58)="D",26,27))))))</f>
        <v>0</v>
      </c>
      <c r="AQ59" s="174"/>
      <c r="AR59" s="174" t="str">
        <f>IF(AP59&gt;=24,0,RIGHT(AP58))</f>
        <v>5</v>
      </c>
      <c r="AS59" s="174">
        <f>AP59+AR59</f>
        <v>5</v>
      </c>
      <c r="AT59" s="174">
        <f>IF(LEFT(AT58)="R",0,IF(LEFT(AT58)="G",8,IF(LEFT(AT58)="B",16,IF(LEFT(AT58)="H",24,IF(LEFT(AT58)="V",25,IF(LEFT(AT58)="D",26,27))))))</f>
        <v>0</v>
      </c>
      <c r="AU59" s="174"/>
      <c r="AV59" s="174" t="str">
        <f>IF(AT59&gt;=24,0,RIGHT(AT58))</f>
        <v>4</v>
      </c>
      <c r="AW59" s="174">
        <f>AT59+AV59</f>
        <v>4</v>
      </c>
      <c r="AX59" s="174">
        <f>IF(LEFT(AX58)="R",0,IF(LEFT(AX58)="G",8,IF(LEFT(AX58)="B",16,IF(LEFT(AX58)="H",24,IF(LEFT(AX58)="V",25,IF(LEFT(AX58)="D",26,27))))))</f>
        <v>0</v>
      </c>
      <c r="AY59" s="174"/>
      <c r="AZ59" s="174" t="str">
        <f>IF(AX59&gt;=24,0,RIGHT(AX58))</f>
        <v>3</v>
      </c>
      <c r="BA59" s="174">
        <f>AX59+AZ59</f>
        <v>3</v>
      </c>
      <c r="BB59" s="174">
        <f>IF(LEFT(BB58)="R",0,IF(LEFT(BB58)="G",8,IF(LEFT(BB58)="B",16,IF(LEFT(BB58)="H",24,IF(LEFT(BB58)="V",25,IF(LEFT(BB58)="D",26,27))))))</f>
        <v>0</v>
      </c>
      <c r="BC59" s="174"/>
      <c r="BD59" s="174" t="str">
        <f>IF(BB59&gt;=24,0,RIGHT(BB58))</f>
        <v>2</v>
      </c>
      <c r="BE59" s="174">
        <f>BB59+BD59</f>
        <v>2</v>
      </c>
      <c r="BF59" s="174">
        <f>IF(LEFT(BF58)="R",0,IF(LEFT(BF58)="G",8,IF(LEFT(BF58)="B",16,IF(LEFT(BF58)="H",24,IF(LEFT(BF58)="V",25,IF(LEFT(BF58)="D",26,27))))))</f>
        <v>0</v>
      </c>
      <c r="BG59" s="174"/>
      <c r="BH59" s="174" t="str">
        <f>IF(BF59&gt;=24,0,RIGHT(BF58))</f>
        <v>1</v>
      </c>
      <c r="BI59" s="174">
        <f>BF59+BH59</f>
        <v>1</v>
      </c>
      <c r="BJ59" s="174">
        <f>IF(LEFT(BJ58)="R",0,IF(LEFT(BJ58)="G",8,IF(LEFT(BJ58)="B",16,IF(LEFT(BJ58)="H",24,IF(LEFT(BJ58)="V",25,IF(LEFT(BJ58)="D",26,27))))))</f>
        <v>0</v>
      </c>
      <c r="BK59" s="174"/>
      <c r="BL59" s="174" t="str">
        <f>IF(BJ59&gt;=24,0,RIGHT(BJ58))</f>
        <v>0</v>
      </c>
      <c r="BM59" s="174">
        <f>BJ59+BL59</f>
        <v>0</v>
      </c>
      <c r="CI59" s="14" t="s">
        <v>224</v>
      </c>
      <c r="CJ59" s="219" t="s">
        <v>225</v>
      </c>
      <c r="CK59" s="262" t="str">
        <f>DEC2HEX(CN33*65536+CN35,8)</f>
        <v>00100006</v>
      </c>
      <c r="CM59" t="s">
        <v>280</v>
      </c>
    </row>
    <row r="60" customHeight="1" spans="26:89">
      <c r="Z60" t="s">
        <v>227</v>
      </c>
      <c r="AH60" s="84"/>
      <c r="AI60" s="89"/>
      <c r="AJ60" s="89"/>
      <c r="AK60" s="90"/>
      <c r="AL60" s="172" t="s">
        <v>228</v>
      </c>
      <c r="AM60" s="173"/>
      <c r="AN60" s="173"/>
      <c r="AO60" s="175"/>
      <c r="AP60" s="172" t="s">
        <v>229</v>
      </c>
      <c r="AQ60" s="173"/>
      <c r="AR60" s="173"/>
      <c r="AS60" s="175"/>
      <c r="AT60" s="172" t="s">
        <v>230</v>
      </c>
      <c r="AU60" s="173"/>
      <c r="AV60" s="173"/>
      <c r="AW60" s="175"/>
      <c r="AX60" s="172" t="s">
        <v>231</v>
      </c>
      <c r="AY60" s="173"/>
      <c r="AZ60" s="173"/>
      <c r="BA60" s="175"/>
      <c r="BB60" s="172" t="s">
        <v>232</v>
      </c>
      <c r="BC60" s="173"/>
      <c r="BD60" s="173"/>
      <c r="BE60" s="175"/>
      <c r="BF60" s="172" t="s">
        <v>233</v>
      </c>
      <c r="BG60" s="173"/>
      <c r="BH60" s="173"/>
      <c r="BI60" s="175"/>
      <c r="BJ60" s="172" t="s">
        <v>234</v>
      </c>
      <c r="BK60" s="173"/>
      <c r="BL60" s="173"/>
      <c r="BM60" s="175"/>
      <c r="BN60" s="84"/>
      <c r="BO60" s="89"/>
      <c r="BP60" s="89"/>
      <c r="BQ60" s="90"/>
      <c r="BW60" t="s">
        <v>235</v>
      </c>
      <c r="CI60" s="14" t="s">
        <v>236</v>
      </c>
      <c r="CJ60" s="219" t="s">
        <v>237</v>
      </c>
      <c r="CK60" s="262" t="str">
        <f>DEC2HEX(CN34*65536+CN36,8)</f>
        <v>00100258</v>
      </c>
    </row>
    <row r="61" customHeight="1" spans="38:91">
      <c r="AL61" s="174">
        <f>IF(LEFT(AL60)="R",0,IF(LEFT(AL60)="G",8,IF(LEFT(AL60)="B",16,IF(LEFT(AL60)="H",24,IF(LEFT(AL60)="V",25,IF(LEFT(AL60)="D",26,27))))))</f>
        <v>16</v>
      </c>
      <c r="AM61" s="174"/>
      <c r="AN61" s="174" t="str">
        <f>IF(AL61&gt;=24,0,RIGHT(AL60))</f>
        <v>1</v>
      </c>
      <c r="AO61" s="174">
        <f>AL61+AN61</f>
        <v>17</v>
      </c>
      <c r="AP61" s="174">
        <f>IF(LEFT(AP60)="R",0,IF(LEFT(AP60)="G",8,IF(LEFT(AP60)="B",16,IF(LEFT(AP60)="H",24,IF(LEFT(AP60)="V",25,IF(LEFT(AP60)="D",26,27))))))</f>
        <v>16</v>
      </c>
      <c r="AQ61" s="174"/>
      <c r="AR61" s="174" t="str">
        <f>IF(AP61&gt;=24,0,RIGHT(AP60))</f>
        <v>0</v>
      </c>
      <c r="AS61" s="174">
        <f>AP61+AR61</f>
        <v>16</v>
      </c>
      <c r="AT61" s="174">
        <f>IF(LEFT(AT60)="R",0,IF(LEFT(AT60)="G",8,IF(LEFT(AT60)="B",16,IF(LEFT(AT60)="H",24,IF(LEFT(AT60)="V",25,IF(LEFT(AT60)="D",26,27))))))</f>
        <v>8</v>
      </c>
      <c r="AU61" s="174"/>
      <c r="AV61" s="174" t="str">
        <f>IF(AT61&gt;=24,0,RIGHT(AT60))</f>
        <v>5</v>
      </c>
      <c r="AW61" s="174">
        <f>AT61+AV61</f>
        <v>13</v>
      </c>
      <c r="AX61" s="174">
        <f>IF(LEFT(AX60)="R",0,IF(LEFT(AX60)="G",8,IF(LEFT(AX60)="B",16,IF(LEFT(AX60)="H",24,IF(LEFT(AX60)="V",25,IF(LEFT(AX60)="D",26,27))))))</f>
        <v>8</v>
      </c>
      <c r="AY61" s="174"/>
      <c r="AZ61" s="174" t="str">
        <f>IF(AX61&gt;=24,0,RIGHT(AX60))</f>
        <v>4</v>
      </c>
      <c r="BA61" s="174">
        <f>AX61+AZ61</f>
        <v>12</v>
      </c>
      <c r="BB61" s="174">
        <f>IF(LEFT(BB60)="R",0,IF(LEFT(BB60)="G",8,IF(LEFT(BB60)="B",16,IF(LEFT(BB60)="H",24,IF(LEFT(BB60)="V",25,IF(LEFT(BB60)="D",26,27))))))</f>
        <v>8</v>
      </c>
      <c r="BC61" s="174"/>
      <c r="BD61" s="174" t="str">
        <f>IF(BB61&gt;=24,0,RIGHT(BB60))</f>
        <v>3</v>
      </c>
      <c r="BE61" s="174">
        <f>BB61+BD61</f>
        <v>11</v>
      </c>
      <c r="BF61" s="174">
        <f>IF(LEFT(BF60)="R",0,IF(LEFT(BF60)="G",8,IF(LEFT(BF60)="B",16,IF(LEFT(BF60)="H",24,IF(LEFT(BF60)="V",25,IF(LEFT(BF60)="D",26,27))))))</f>
        <v>8</v>
      </c>
      <c r="BG61" s="174"/>
      <c r="BH61" s="174" t="str">
        <f>IF(BF61&gt;=24,0,RIGHT(BF60))</f>
        <v>2</v>
      </c>
      <c r="BI61" s="174">
        <f>BF61+BH61</f>
        <v>10</v>
      </c>
      <c r="BJ61" s="174">
        <f>IF(LEFT(BJ60)="R",0,IF(LEFT(BJ60)="G",8,IF(LEFT(BJ60)="B",16,IF(LEFT(BJ60)="H",24,IF(LEFT(BJ60)="V",25,IF(LEFT(BJ60)="D",26,27))))))</f>
        <v>8</v>
      </c>
      <c r="BK61" s="174"/>
      <c r="BL61" s="174" t="str">
        <f>IF(BJ61&gt;=24,0,RIGHT(BJ60))</f>
        <v>1</v>
      </c>
      <c r="BM61" s="174">
        <f>BJ61+BL61</f>
        <v>9</v>
      </c>
      <c r="BX61" s="185" t="s">
        <v>281</v>
      </c>
      <c r="BY61" s="187"/>
      <c r="BZ61" s="187"/>
      <c r="CA61" s="188"/>
      <c r="CB61" s="16" t="str">
        <f>IF(BX61="Dflt","REM","WR")</f>
        <v>WR</v>
      </c>
      <c r="CI61" s="14" t="s">
        <v>239</v>
      </c>
      <c r="CJ61" s="219" t="s">
        <v>240</v>
      </c>
      <c r="CK61" s="262" t="str">
        <f>DEC2HEX(1+CQ11+CQ5+CQ4+CR5,8)</f>
        <v>00000141</v>
      </c>
      <c r="CM61" s="1" t="s">
        <v>241</v>
      </c>
    </row>
    <row r="62" customHeight="1" spans="26:91">
      <c r="Z62" t="s">
        <v>242</v>
      </c>
      <c r="AH62" s="84"/>
      <c r="AI62" s="89"/>
      <c r="AJ62" s="89"/>
      <c r="AK62" s="90"/>
      <c r="AL62" s="172" t="s">
        <v>103</v>
      </c>
      <c r="AM62" s="173"/>
      <c r="AN62" s="173"/>
      <c r="AO62" s="175"/>
      <c r="AP62" s="172" t="s">
        <v>243</v>
      </c>
      <c r="AQ62" s="173"/>
      <c r="AR62" s="173"/>
      <c r="AS62" s="175"/>
      <c r="AT62" s="172" t="s">
        <v>244</v>
      </c>
      <c r="AU62" s="173"/>
      <c r="AV62" s="173"/>
      <c r="AW62" s="175"/>
      <c r="AX62" s="172" t="s">
        <v>245</v>
      </c>
      <c r="AY62" s="173"/>
      <c r="AZ62" s="173"/>
      <c r="BA62" s="175"/>
      <c r="BB62" s="172" t="s">
        <v>246</v>
      </c>
      <c r="BC62" s="173"/>
      <c r="BD62" s="173"/>
      <c r="BE62" s="175"/>
      <c r="BF62" s="172" t="s">
        <v>247</v>
      </c>
      <c r="BG62" s="173"/>
      <c r="BH62" s="173"/>
      <c r="BI62" s="175"/>
      <c r="BJ62" s="172" t="s">
        <v>248</v>
      </c>
      <c r="BK62" s="173"/>
      <c r="BL62" s="173"/>
      <c r="BM62" s="175"/>
      <c r="BN62" s="84"/>
      <c r="BO62" s="89"/>
      <c r="BP62" s="89"/>
      <c r="BQ62" s="90"/>
      <c r="CI62" s="14" t="s">
        <v>249</v>
      </c>
      <c r="CJ62" s="219" t="s">
        <v>250</v>
      </c>
      <c r="CK62" s="262" t="str">
        <f>DEC2HEX(CQ6+CQ12,8)</f>
        <v>0000002D</v>
      </c>
      <c r="CL62" s="16" t="str">
        <f>IF(CQ6=6,IF(CQ12=0,"Default","Change"),"Change")</f>
        <v>Change</v>
      </c>
      <c r="CM62" t="s">
        <v>282</v>
      </c>
    </row>
    <row r="63" customHeight="1" spans="38:65">
      <c r="AL63" s="174">
        <f>IF(LEFT(AL62)="R",0,IF(LEFT(AL62)="G",8,IF(LEFT(AL62)="B",16,IF(LEFT(AL62)="H",24,IF(LEFT(AL62)="V",25,IF(LEFT(AL62)="D",26,27))))))</f>
        <v>26</v>
      </c>
      <c r="AM63" s="174"/>
      <c r="AN63" s="174">
        <f>IF(AL63&gt;=24,0,RIGHT(AL62))</f>
        <v>0</v>
      </c>
      <c r="AO63" s="174">
        <f>AL63+AN63</f>
        <v>26</v>
      </c>
      <c r="AP63" s="174">
        <f>IF(LEFT(AP62)="R",0,IF(LEFT(AP62)="G",8,IF(LEFT(AP62)="B",16,IF(LEFT(AP62)="H",24,IF(LEFT(AP62)="V",25,IF(LEFT(AP62)="D",26,27))))))</f>
        <v>25</v>
      </c>
      <c r="AQ63" s="174"/>
      <c r="AR63" s="174">
        <f>IF(AP63&gt;=24,0,RIGHT(AP62))</f>
        <v>0</v>
      </c>
      <c r="AS63" s="174">
        <f>AP63+AR63</f>
        <v>25</v>
      </c>
      <c r="AT63" s="174">
        <f>IF(LEFT(AT62)="R",0,IF(LEFT(AT62)="G",8,IF(LEFT(AT62)="B",16,IF(LEFT(AT62)="H",24,IF(LEFT(AT62)="V",25,IF(LEFT(AT62)="D",26,27))))))</f>
        <v>24</v>
      </c>
      <c r="AU63" s="174"/>
      <c r="AV63" s="174">
        <f>IF(AT63&gt;=24,0,RIGHT(AT62))</f>
        <v>0</v>
      </c>
      <c r="AW63" s="174">
        <f>AT63+AV63</f>
        <v>24</v>
      </c>
      <c r="AX63" s="174">
        <f>IF(LEFT(AX62)="R",0,IF(LEFT(AX62)="G",8,IF(LEFT(AX62)="B",16,IF(LEFT(AX62)="H",24,IF(LEFT(AX62)="V",25,IF(LEFT(AX62)="D",26,27))))))</f>
        <v>16</v>
      </c>
      <c r="AY63" s="174"/>
      <c r="AZ63" s="174" t="str">
        <f>IF(AX63&gt;=24,0,RIGHT(AX62))</f>
        <v>5</v>
      </c>
      <c r="BA63" s="174">
        <f>AX63+AZ63</f>
        <v>21</v>
      </c>
      <c r="BB63" s="174">
        <f>IF(LEFT(BB62)="R",0,IF(LEFT(BB62)="G",8,IF(LEFT(BB62)="B",16,IF(LEFT(BB62)="H",24,IF(LEFT(BB62)="V",25,IF(LEFT(BB62)="D",26,27))))))</f>
        <v>16</v>
      </c>
      <c r="BC63" s="174"/>
      <c r="BD63" s="174" t="str">
        <f>IF(BB63&gt;=24,0,RIGHT(BB62))</f>
        <v>4</v>
      </c>
      <c r="BE63" s="174">
        <f>BB63+BD63</f>
        <v>20</v>
      </c>
      <c r="BF63" s="174">
        <f>IF(LEFT(BF62)="R",0,IF(LEFT(BF62)="G",8,IF(LEFT(BF62)="B",16,IF(LEFT(BF62)="H",24,IF(LEFT(BF62)="V",25,IF(LEFT(BF62)="D",26,27))))))</f>
        <v>16</v>
      </c>
      <c r="BG63" s="174"/>
      <c r="BH63" s="174" t="str">
        <f>IF(BF63&gt;=24,0,RIGHT(BF62))</f>
        <v>3</v>
      </c>
      <c r="BI63" s="174">
        <f>BF63+BH63</f>
        <v>19</v>
      </c>
      <c r="BJ63" s="174">
        <f>IF(LEFT(BJ62)="R",0,IF(LEFT(BJ62)="G",8,IF(LEFT(BJ62)="B",16,IF(LEFT(BJ62)="H",24,IF(LEFT(BJ62)="V",25,IF(LEFT(BJ62)="D",26,27))))))</f>
        <v>16</v>
      </c>
      <c r="BK63" s="174"/>
      <c r="BL63" s="174" t="str">
        <f>IF(BJ63&gt;=24,0,RIGHT(BJ62))</f>
        <v>2</v>
      </c>
      <c r="BM63" s="174">
        <f>BJ63+BL63</f>
        <v>18</v>
      </c>
    </row>
    <row r="64" customHeight="1" spans="26:69">
      <c r="Z64" t="s">
        <v>252</v>
      </c>
      <c r="AH64" s="84"/>
      <c r="AI64" s="89"/>
      <c r="AJ64" s="89"/>
      <c r="AK64" s="90"/>
      <c r="AL64" s="172">
        <v>0</v>
      </c>
      <c r="AM64" s="173"/>
      <c r="AN64" s="173"/>
      <c r="AO64" s="175"/>
      <c r="AP64" s="172" t="s">
        <v>253</v>
      </c>
      <c r="AQ64" s="173"/>
      <c r="AR64" s="173"/>
      <c r="AS64" s="175"/>
      <c r="AT64" s="172" t="s">
        <v>254</v>
      </c>
      <c r="AU64" s="173"/>
      <c r="AV64" s="173"/>
      <c r="AW64" s="175"/>
      <c r="AX64" s="172" t="s">
        <v>255</v>
      </c>
      <c r="AY64" s="173"/>
      <c r="AZ64" s="173"/>
      <c r="BA64" s="175"/>
      <c r="BB64" s="172" t="s">
        <v>256</v>
      </c>
      <c r="BC64" s="173"/>
      <c r="BD64" s="173"/>
      <c r="BE64" s="175"/>
      <c r="BF64" s="172" t="s">
        <v>257</v>
      </c>
      <c r="BG64" s="173"/>
      <c r="BH64" s="173"/>
      <c r="BI64" s="175"/>
      <c r="BJ64" s="172" t="s">
        <v>258</v>
      </c>
      <c r="BK64" s="173"/>
      <c r="BL64" s="173"/>
      <c r="BM64" s="175"/>
      <c r="BN64" s="84"/>
      <c r="BO64" s="89"/>
      <c r="BP64" s="89"/>
      <c r="BQ64" s="90"/>
    </row>
    <row r="65" customHeight="1" spans="38:89">
      <c r="AL65" s="174">
        <f>IF(LEFT(AL64)="R",0,IF(LEFT(AL64)="G",8,IF(LEFT(AL64)="B",16,IF(LEFT(AL64)="H",24,IF(LEFT(AL64)="V",25,IF(LEFT(AL64)="D",26,27))))))</f>
        <v>27</v>
      </c>
      <c r="AM65" s="174"/>
      <c r="AN65" s="174">
        <f>IF(AL65&gt;=24,0,RIGHT(AL64))</f>
        <v>0</v>
      </c>
      <c r="AO65" s="174">
        <f>AL65+AN65</f>
        <v>27</v>
      </c>
      <c r="AP65" s="174">
        <f>IF(LEFT(AP64)="R",0,IF(LEFT(AP64)="G",8,IF(LEFT(AP64)="B",16,IF(LEFT(AP64)="H",24,IF(LEFT(AP64)="V",25,IF(LEFT(AP64)="D",26,27))))))</f>
        <v>16</v>
      </c>
      <c r="AQ65" s="174"/>
      <c r="AR65" s="174" t="str">
        <f>IF(AP65&gt;=24,0,RIGHT(AP64))</f>
        <v>7</v>
      </c>
      <c r="AS65" s="174">
        <f>AP65+AR65</f>
        <v>23</v>
      </c>
      <c r="AT65" s="174">
        <f>IF(LEFT(AT64)="R",0,IF(LEFT(AT64)="G",8,IF(LEFT(AT64)="B",16,IF(LEFT(AT64)="H",24,IF(LEFT(AT64)="V",25,IF(LEFT(AT64)="D",26,27))))))</f>
        <v>16</v>
      </c>
      <c r="AU65" s="174"/>
      <c r="AV65" s="174" t="str">
        <f>IF(AT65&gt;=24,0,RIGHT(AT64))</f>
        <v>6</v>
      </c>
      <c r="AW65" s="174">
        <f>AT65+AV65</f>
        <v>22</v>
      </c>
      <c r="AX65" s="174">
        <f>IF(LEFT(AX64)="R",0,IF(LEFT(AX64)="G",8,IF(LEFT(AX64)="B",16,IF(LEFT(AX64)="H",24,IF(LEFT(AX64)="V",25,IF(LEFT(AX64)="D",26,27))))))</f>
        <v>8</v>
      </c>
      <c r="AY65" s="174"/>
      <c r="AZ65" s="174" t="str">
        <f>IF(AX65&gt;=24,0,RIGHT(AX64))</f>
        <v>7</v>
      </c>
      <c r="BA65" s="174">
        <f>AX65+AZ65</f>
        <v>15</v>
      </c>
      <c r="BB65" s="174">
        <f>IF(LEFT(BB64)="R",0,IF(LEFT(BB64)="G",8,IF(LEFT(BB64)="B",16,IF(LEFT(BB64)="H",24,IF(LEFT(BB64)="V",25,IF(LEFT(BB64)="D",26,27))))))</f>
        <v>8</v>
      </c>
      <c r="BC65" s="174"/>
      <c r="BD65" s="174" t="str">
        <f>IF(BB65&gt;=24,0,RIGHT(BB64))</f>
        <v>6</v>
      </c>
      <c r="BE65" s="174">
        <f>BB65+BD65</f>
        <v>14</v>
      </c>
      <c r="BF65" s="174">
        <f>IF(LEFT(BF64)="R",0,IF(LEFT(BF64)="G",8,IF(LEFT(BF64)="B",16,IF(LEFT(BF64)="H",24,IF(LEFT(BF64)="V",25,IF(LEFT(BF64)="D",26,27))))))</f>
        <v>0</v>
      </c>
      <c r="BG65" s="174"/>
      <c r="BH65" s="174" t="str">
        <f>IF(BF65&gt;=24,0,RIGHT(BF64))</f>
        <v>7</v>
      </c>
      <c r="BI65" s="174">
        <f>BF65+BH65</f>
        <v>7</v>
      </c>
      <c r="BJ65" s="174">
        <f>IF(LEFT(BJ64)="R",0,IF(LEFT(BJ64)="G",8,IF(LEFT(BJ64)="B",16,IF(LEFT(BJ64)="H",24,IF(LEFT(BJ64)="V",25,IF(LEFT(BJ64)="D",26,27))))))</f>
        <v>0</v>
      </c>
      <c r="BK65" s="174"/>
      <c r="BL65" s="174" t="str">
        <f>IF(BJ65&gt;=24,0,RIGHT(BJ64))</f>
        <v>6</v>
      </c>
      <c r="BM65" s="174">
        <f>BJ65+BL65</f>
        <v>6</v>
      </c>
      <c r="CI65" s="14" t="s">
        <v>259</v>
      </c>
      <c r="CJ65" s="219" t="s">
        <v>260</v>
      </c>
      <c r="CK65" s="262" t="str">
        <f>DEC2HEX(BM59+BI59*256+BE59*65536+BA59*16777216,8)</f>
        <v>03020100</v>
      </c>
    </row>
    <row r="66" customHeight="1" spans="87:89">
      <c r="CI66" s="14" t="s">
        <v>261</v>
      </c>
      <c r="CJ66" s="219" t="s">
        <v>262</v>
      </c>
      <c r="CK66" s="262" t="str">
        <f>DEC2HEX(AW59+BI65*256+AS59*65536+AO59*16777216,8)</f>
        <v>08050704</v>
      </c>
    </row>
    <row r="67" customHeight="1" spans="87:89">
      <c r="CI67" s="14" t="s">
        <v>263</v>
      </c>
      <c r="CJ67" s="219" t="s">
        <v>264</v>
      </c>
      <c r="CK67" s="262" t="str">
        <f>DEC2HEX(BM61+BI61*256+BE65*65536+BA65*16777216,8)</f>
        <v>0F0E0A09</v>
      </c>
    </row>
    <row r="68" customHeight="1" spans="87:89">
      <c r="CI68" s="14" t="s">
        <v>265</v>
      </c>
      <c r="CJ68" s="219" t="s">
        <v>266</v>
      </c>
      <c r="CK68" s="262" t="str">
        <f>DEC2HEX(BE61+BA61*256+AW61*65536+AS61*16777216,8)</f>
        <v>100D0C0B</v>
      </c>
    </row>
    <row r="69" customHeight="1" spans="87:89">
      <c r="CI69" s="14" t="s">
        <v>267</v>
      </c>
      <c r="CJ69" s="219" t="s">
        <v>268</v>
      </c>
      <c r="CK69" s="262" t="str">
        <f>DEC2HEX(AW65+AS65*256+AO61*65536+BM63*16777216,8)</f>
        <v>12111716</v>
      </c>
    </row>
    <row r="70" customHeight="1" spans="87:89">
      <c r="CI70" s="14" t="s">
        <v>269</v>
      </c>
      <c r="CJ70" s="219" t="s">
        <v>270</v>
      </c>
      <c r="CK70" s="262" t="str">
        <f>DEC2HEX(BI63+BE63*256+BA63*65536+AO65*16777216,8)</f>
        <v>1B151413</v>
      </c>
    </row>
    <row r="71" customHeight="1" spans="87:89">
      <c r="CI71" s="14" t="s">
        <v>271</v>
      </c>
      <c r="CJ71" s="219" t="s">
        <v>272</v>
      </c>
      <c r="CK71" s="262" t="str">
        <f>DEC2HEX(AW63+AS63*256+AO63*65536+BM65*16777216,8)</f>
        <v>061A1918</v>
      </c>
    </row>
  </sheetData>
  <sheetProtection password="EE8F" sheet="1" selectLockedCells="1"/>
  <mergeCells count="50">
    <mergeCell ref="AC4:AF4"/>
    <mergeCell ref="AH4:AK4"/>
    <mergeCell ref="AX4:BA4"/>
    <mergeCell ref="BS4:BV4"/>
    <mergeCell ref="U5:X5"/>
    <mergeCell ref="U9:X9"/>
    <mergeCell ref="U13:X13"/>
    <mergeCell ref="AF17:AI17"/>
    <mergeCell ref="AT17:AW17"/>
    <mergeCell ref="BO17:BR17"/>
    <mergeCell ref="N30:Q30"/>
    <mergeCell ref="N39:Q39"/>
    <mergeCell ref="N49:Q49"/>
    <mergeCell ref="AH58:AK58"/>
    <mergeCell ref="AL58:AO58"/>
    <mergeCell ref="AP58:AS58"/>
    <mergeCell ref="AT58:AW58"/>
    <mergeCell ref="AX58:BA58"/>
    <mergeCell ref="BB58:BE58"/>
    <mergeCell ref="BF58:BI58"/>
    <mergeCell ref="BJ58:BM58"/>
    <mergeCell ref="BN58:BQ58"/>
    <mergeCell ref="AH60:AK60"/>
    <mergeCell ref="AL60:AO60"/>
    <mergeCell ref="AP60:AS60"/>
    <mergeCell ref="AT60:AW60"/>
    <mergeCell ref="AX60:BA60"/>
    <mergeCell ref="BB60:BE60"/>
    <mergeCell ref="BF60:BI60"/>
    <mergeCell ref="BJ60:BM60"/>
    <mergeCell ref="BN60:BQ60"/>
    <mergeCell ref="BX61:CA61"/>
    <mergeCell ref="AH62:AK62"/>
    <mergeCell ref="AL62:AO62"/>
    <mergeCell ref="AP62:AS62"/>
    <mergeCell ref="AT62:AW62"/>
    <mergeCell ref="AX62:BA62"/>
    <mergeCell ref="BB62:BE62"/>
    <mergeCell ref="BF62:BI62"/>
    <mergeCell ref="BJ62:BM62"/>
    <mergeCell ref="BN62:BQ62"/>
    <mergeCell ref="AH64:AK64"/>
    <mergeCell ref="AL64:AO64"/>
    <mergeCell ref="AP64:AS64"/>
    <mergeCell ref="AT64:AW64"/>
    <mergeCell ref="AX64:BA64"/>
    <mergeCell ref="BB64:BE64"/>
    <mergeCell ref="BF64:BI64"/>
    <mergeCell ref="BJ64:BM64"/>
    <mergeCell ref="BN64:BQ64"/>
  </mergeCells>
  <conditionalFormatting sqref="CK1">
    <cfRule type="expression" dxfId="0" priority="3" stopIfTrue="1">
      <formula>CK4="EXTCLK"</formula>
    </cfRule>
  </conditionalFormatting>
  <conditionalFormatting sqref="CN3">
    <cfRule type="expression" dxfId="0" priority="12" stopIfTrue="1">
      <formula>CN7="DSI"</formula>
    </cfRule>
  </conditionalFormatting>
  <conditionalFormatting sqref="AC4:AE4">
    <cfRule type="expression" dxfId="5" priority="22" stopIfTrue="1">
      <formula>CR8=0</formula>
    </cfRule>
  </conditionalFormatting>
  <conditionalFormatting sqref="AH4:AJ4">
    <cfRule type="expression" dxfId="5" priority="23" stopIfTrue="1">
      <formula>CR8=0</formula>
    </cfRule>
  </conditionalFormatting>
  <conditionalFormatting sqref="BS4">
    <cfRule type="expression" dxfId="1" priority="17" stopIfTrue="1">
      <formula>CN8="Line"</formula>
    </cfRule>
  </conditionalFormatting>
  <conditionalFormatting sqref="CN4">
    <cfRule type="expression" dxfId="0" priority="2" stopIfTrue="1">
      <formula>CN7="EXTCLK"</formula>
    </cfRule>
  </conditionalFormatting>
  <conditionalFormatting sqref="CN5">
    <cfRule type="expression" dxfId="0" priority="1" stopIfTrue="1">
      <formula>CN7="EXTCLK"</formula>
    </cfRule>
  </conditionalFormatting>
  <conditionalFormatting sqref="CK7">
    <cfRule type="expression" dxfId="0" priority="31" stopIfTrue="1">
      <formula>$CJ$7="Time"</formula>
    </cfRule>
  </conditionalFormatting>
  <conditionalFormatting sqref="CN20">
    <cfRule type="expression" dxfId="0" priority="19" stopIfTrue="1">
      <formula>CR8=0</formula>
    </cfRule>
  </conditionalFormatting>
  <conditionalFormatting sqref="CN21">
    <cfRule type="expression" dxfId="0" priority="5" stopIfTrue="1">
      <formula>CN8="Line"</formula>
    </cfRule>
  </conditionalFormatting>
  <conditionalFormatting sqref="CN22">
    <cfRule type="expression" dxfId="0" priority="20" stopIfTrue="1">
      <formula>CR8=0</formula>
    </cfRule>
  </conditionalFormatting>
  <conditionalFormatting sqref="CN23">
    <cfRule type="expression" dxfId="0" priority="6" stopIfTrue="1">
      <formula>CN8="Line"</formula>
    </cfRule>
  </conditionalFormatting>
  <conditionalFormatting sqref="B26">
    <cfRule type="expression" dxfId="5" priority="24" stopIfTrue="1">
      <formula>CR8=0</formula>
    </cfRule>
  </conditionalFormatting>
  <conditionalFormatting sqref="CN33">
    <cfRule type="expression" dxfId="0" priority="16" stopIfTrue="1">
      <formula>CN8="Line"</formula>
    </cfRule>
  </conditionalFormatting>
  <conditionalFormatting sqref="CN34">
    <cfRule type="expression" dxfId="0" priority="7" stopIfTrue="1">
      <formula>CN8="Line"</formula>
    </cfRule>
  </conditionalFormatting>
  <conditionalFormatting sqref="CN35">
    <cfRule type="expression" dxfId="0" priority="21" stopIfTrue="1">
      <formula>CR8=0</formula>
    </cfRule>
  </conditionalFormatting>
  <conditionalFormatting sqref="CN36">
    <cfRule type="expression" dxfId="0" priority="8" stopIfTrue="1">
      <formula>CN8="Line"</formula>
    </cfRule>
  </conditionalFormatting>
  <conditionalFormatting sqref="CJ8:CJ9">
    <cfRule type="expression" dxfId="0" priority="11" stopIfTrue="1">
      <formula>CJ7="Time"</formula>
    </cfRule>
  </conditionalFormatting>
  <conditionalFormatting sqref="AF4 AK4">
    <cfRule type="expression" dxfId="5" priority="28" stopIfTrue="1">
      <formula>#REF!=0</formula>
    </cfRule>
  </conditionalFormatting>
  <conditionalFormatting sqref="AL58:BM58 AL60:BM60 AL62:BM62 AL64:BM64">
    <cfRule type="cellIs" dxfId="2" priority="25" stopIfTrue="1" operator="between">
      <formula>"R0"</formula>
      <formula>"R7"</formula>
    </cfRule>
    <cfRule type="cellIs" dxfId="3" priority="26" stopIfTrue="1" operator="between">
      <formula>"G0"</formula>
      <formula>"G7"</formula>
    </cfRule>
    <cfRule type="cellIs" dxfId="4" priority="27" stopIfTrue="1" operator="between">
      <formula>"B0"</formula>
      <formula>"B7"</formula>
    </cfRule>
  </conditionalFormatting>
  <dataValidations count="14">
    <dataValidation type="list" allowBlank="1" showInputMessage="1" showErrorMessage="1" sqref="AL58:BM58 AL60:BM60 AL62:BM62 AL64:BM64">
      <formula1>"R0,R1,R2,R3,R4,R5,R6,R7,G0,G1,G2,G3,G4,G5,G6,G7,B0,B1,B2,B3,B4,B5,B6,B7,DE,HSY,VSY,0"</formula1>
    </dataValidation>
    <dataValidation type="list" allowBlank="1" showInputMessage="1" showErrorMessage="1" sqref="CN11">
      <formula1>"Single,Dual"</formula1>
    </dataValidation>
    <dataValidation type="list" allowBlank="1" showInputMessage="1" showErrorMessage="1" sqref="CN9">
      <formula1>"RGB666,RGB888"</formula1>
    </dataValidation>
    <dataValidation type="list" allowBlank="1" showInputMessage="1" showErrorMessage="1" sqref="U5 U9 B19">
      <formula1>"L,H"</formula1>
    </dataValidation>
    <dataValidation type="list" allowBlank="1" showInputMessage="1" showErrorMessage="1" sqref="CN10">
      <formula1>"ON,OFF"</formula1>
    </dataValidation>
    <dataValidation type="list" allowBlank="1" showInputMessage="1" showErrorMessage="1" sqref="BX61:CA61">
      <formula1>"Dflt, Mdfy"</formula1>
    </dataValidation>
    <dataValidation type="list" allowBlank="1" showInputMessage="1" showErrorMessage="1" sqref="CN7">
      <formula1>"DSI, EXTCLK"</formula1>
    </dataValidation>
    <dataValidation type="list" allowBlank="1" showInputMessage="1" showErrorMessage="1" sqref="CN12">
      <formula1>"Normal, Reduced"</formula1>
    </dataValidation>
    <dataValidation type="list" allowBlank="1" showInputMessage="1" showErrorMessage="1" sqref="CJ5">
      <formula1>"1,2,3,4"</formula1>
    </dataValidation>
    <dataValidation type="list" allowBlank="1" showInputMessage="1" showErrorMessage="1" sqref="CJ7">
      <formula1>"H-PCLK, Time"</formula1>
    </dataValidation>
    <dataValidation type="list" allowBlank="1" showInputMessage="1" showErrorMessage="1" sqref="CJ6">
      <formula1>"RGB565,pRGB666,lRGB666,RGB888"</formula1>
    </dataValidation>
    <dataValidation type="list" allowBlank="1" showInputMessage="1" showErrorMessage="1" sqref="CN5">
      <formula1>"1,2,3,4,5,6,7,8,9,10,11,12,13,14,15,16"</formula1>
    </dataValidation>
    <dataValidation type="list" allowBlank="1" showInputMessage="1" showErrorMessage="1" sqref="CK1">
      <formula1>"TC358764/65, TC358774/75"</formula1>
    </dataValidation>
    <dataValidation type="list" allowBlank="1" showInputMessage="1" showErrorMessage="1" sqref="CN4">
      <formula1>"1,2,4"</formula1>
    </dataValidation>
  </dataValidations>
  <pageMargins left="0.75" right="0.75" top="1" bottom="1" header="0.512" footer="0.512"/>
  <pageSetup paperSize="9" orientation="portrait" verticalDpi="600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indexed="20"/>
  </sheetPr>
  <dimension ref="A1:K157"/>
  <sheetViews>
    <sheetView showGridLines="0" zoomScaleSheetLayoutView="60" topLeftCell="B1" workbookViewId="0">
      <selection activeCell="C39" sqref="C39"/>
    </sheetView>
  </sheetViews>
  <sheetFormatPr defaultColWidth="9" defaultRowHeight="14.25"/>
  <cols>
    <col min="1" max="1" width="5.375" style="120" customWidth="1"/>
    <col min="2" max="2" width="6" style="120"/>
    <col min="3" max="3" width="9.375" style="120" customWidth="1"/>
    <col min="4" max="4" width="27.25" style="120" customWidth="1"/>
    <col min="5" max="5" width="9.375" style="120" customWidth="1"/>
    <col min="6" max="6" width="8.625" style="120" customWidth="1"/>
    <col min="7" max="7" width="17" style="120" customWidth="1"/>
    <col min="8" max="8" width="7.5" style="120" customWidth="1"/>
    <col min="9" max="9" width="5" style="120"/>
    <col min="10" max="10" width="20.625" style="120" customWidth="1"/>
    <col min="11" max="11" width="5" style="120"/>
    <col min="12" max="16384" width="9" style="120"/>
  </cols>
  <sheetData>
    <row r="1" ht="15" spans="1:11">
      <c r="A1" s="121" t="s">
        <v>283</v>
      </c>
      <c r="B1" s="121" t="s">
        <v>284</v>
      </c>
      <c r="C1" s="121" t="s">
        <v>285</v>
      </c>
      <c r="D1" s="121" t="s">
        <v>183</v>
      </c>
      <c r="E1" s="121" t="s">
        <v>286</v>
      </c>
      <c r="F1" s="60"/>
      <c r="G1" s="128" t="s">
        <v>287</v>
      </c>
      <c r="I1" s="121"/>
      <c r="K1" s="121" t="s">
        <v>17</v>
      </c>
    </row>
    <row r="2" spans="8:9">
      <c r="H2" s="129"/>
      <c r="I2" s="120" t="s">
        <v>288</v>
      </c>
    </row>
    <row r="3" spans="8:9">
      <c r="H3" s="130"/>
      <c r="I3" s="120" t="s">
        <v>289</v>
      </c>
    </row>
    <row r="4" spans="1:2">
      <c r="A4" s="122" t="s">
        <v>290</v>
      </c>
      <c r="B4" s="120" t="s">
        <v>291</v>
      </c>
    </row>
    <row r="5" spans="1:2">
      <c r="A5" s="122" t="s">
        <v>290</v>
      </c>
      <c r="B5" s="120" t="s">
        <v>292</v>
      </c>
    </row>
    <row r="6" spans="1:2">
      <c r="A6" s="122" t="s">
        <v>290</v>
      </c>
      <c r="B6" s="120" t="s">
        <v>291</v>
      </c>
    </row>
    <row r="7" spans="1:5">
      <c r="A7" s="120" t="s">
        <v>293</v>
      </c>
      <c r="B7" s="443" t="s">
        <v>294</v>
      </c>
      <c r="C7" s="123" t="str">
        <f>IF($G$1="Sync Event Mode",'Timing Parameters_SYNC_EVENT'!CK46,'Timing Parameters_SYNC_PULSE'!CK46)</f>
        <v>00030005</v>
      </c>
      <c r="D7" s="120" t="s">
        <v>295</v>
      </c>
      <c r="E7" s="131" t="s">
        <v>296</v>
      </c>
    </row>
    <row r="8" spans="1:5">
      <c r="A8" s="120" t="s">
        <v>293</v>
      </c>
      <c r="B8" s="443" t="s">
        <v>297</v>
      </c>
      <c r="C8" s="123" t="str">
        <f>IF($G$1="Sync Event Mode",'Timing Parameters_SYNC_EVENT'!CK47,'Timing Parameters_SYNC_PULSE'!CK47)</f>
        <v>00000003</v>
      </c>
      <c r="D8" s="120" t="s">
        <v>298</v>
      </c>
      <c r="E8" s="131" t="s">
        <v>296</v>
      </c>
    </row>
    <row r="9" spans="1:5">
      <c r="A9" s="120" t="s">
        <v>293</v>
      </c>
      <c r="B9" s="443" t="s">
        <v>299</v>
      </c>
      <c r="C9" s="123" t="str">
        <f>IF($G$1="Sync Event Mode",'Timing Parameters_SYNC_EVENT'!CK48,'Timing Parameters_SYNC_PULSE'!CK48)</f>
        <v>00000004</v>
      </c>
      <c r="D9" s="120" t="s">
        <v>300</v>
      </c>
      <c r="E9" s="131" t="s">
        <v>296</v>
      </c>
    </row>
    <row r="10" spans="1:5">
      <c r="A10" s="120" t="s">
        <v>293</v>
      </c>
      <c r="B10" s="443" t="s">
        <v>301</v>
      </c>
      <c r="C10" s="123" t="str">
        <f>IF($G$1="Sync Event Mode",'Timing Parameters_SYNC_EVENT'!CK49,'Timing Parameters_SYNC_PULSE'!CK49)</f>
        <v>00000004</v>
      </c>
      <c r="D10" s="120" t="s">
        <v>302</v>
      </c>
      <c r="E10" s="131" t="s">
        <v>296</v>
      </c>
    </row>
    <row r="11" customHeight="1" spans="1:5">
      <c r="A11" s="120" t="s">
        <v>293</v>
      </c>
      <c r="B11" s="443" t="s">
        <v>303</v>
      </c>
      <c r="C11" s="123" t="str">
        <f>IF($G$1="Sync Event Mode",'Timing Parameters_SYNC_EVENT'!CK50,'Timing Parameters_SYNC_PULSE'!CK50)</f>
        <v>00000004</v>
      </c>
      <c r="D11" s="120" t="s">
        <v>304</v>
      </c>
      <c r="E11" s="131" t="s">
        <v>296</v>
      </c>
    </row>
    <row r="12" spans="1:5">
      <c r="A12" s="120" t="s">
        <v>293</v>
      </c>
      <c r="B12" s="443" t="s">
        <v>305</v>
      </c>
      <c r="C12" s="123" t="str">
        <f>IF($G$1="Sync Event Mode",'Timing Parameters_SYNC_EVENT'!CK51,'Timing Parameters_SYNC_PULSE'!CK51)</f>
        <v>00000004</v>
      </c>
      <c r="D12" s="120" t="s">
        <v>306</v>
      </c>
      <c r="E12" s="131" t="s">
        <v>296</v>
      </c>
    </row>
    <row r="13" spans="1:5">
      <c r="A13" s="120" t="s">
        <v>293</v>
      </c>
      <c r="B13" s="120" t="s">
        <v>307</v>
      </c>
      <c r="C13" s="123" t="str">
        <f>IF($G$1="Sync Event Mode",'Timing Parameters_SYNC_EVENT'!CK52,'Timing Parameters_SYNC_PULSE'!CK52)</f>
        <v>0000001F</v>
      </c>
      <c r="D13" s="120" t="s">
        <v>200</v>
      </c>
      <c r="E13" s="131" t="s">
        <v>296</v>
      </c>
    </row>
    <row r="14" spans="1:5">
      <c r="A14" s="120" t="s">
        <v>293</v>
      </c>
      <c r="B14" s="443" t="s">
        <v>308</v>
      </c>
      <c r="C14" s="123" t="str">
        <f>IF($G$1="Sync Event Mode",'Timing Parameters_SYNC_EVENT'!CK53,'Timing Parameters_SYNC_PULSE'!CK53)</f>
        <v>0000001F</v>
      </c>
      <c r="D14" s="120" t="s">
        <v>202</v>
      </c>
      <c r="E14" s="131" t="s">
        <v>296</v>
      </c>
    </row>
    <row r="15" spans="1:5">
      <c r="A15" s="120" t="s">
        <v>293</v>
      </c>
      <c r="B15" s="120" t="s">
        <v>309</v>
      </c>
      <c r="C15" s="124" t="s">
        <v>310</v>
      </c>
      <c r="D15" s="120" t="s">
        <v>311</v>
      </c>
      <c r="E15" s="131" t="s">
        <v>296</v>
      </c>
    </row>
    <row r="16" spans="1:5">
      <c r="A16" s="120" t="s">
        <v>293</v>
      </c>
      <c r="B16" s="120" t="s">
        <v>312</v>
      </c>
      <c r="C16" s="124" t="s">
        <v>310</v>
      </c>
      <c r="D16" s="120" t="s">
        <v>313</v>
      </c>
      <c r="E16" s="131" t="s">
        <v>296</v>
      </c>
    </row>
    <row r="17" spans="3:5">
      <c r="C17" s="124"/>
      <c r="E17" s="124"/>
    </row>
    <row r="18" spans="1:2">
      <c r="A18" s="122" t="s">
        <v>290</v>
      </c>
      <c r="B18" s="120" t="s">
        <v>291</v>
      </c>
    </row>
    <row r="19" spans="1:3">
      <c r="A19" s="122" t="s">
        <v>290</v>
      </c>
      <c r="B19" s="120" t="s">
        <v>314</v>
      </c>
      <c r="C19" s="124"/>
    </row>
    <row r="20" spans="1:2">
      <c r="A20" s="122" t="s">
        <v>290</v>
      </c>
      <c r="B20" s="120" t="s">
        <v>291</v>
      </c>
    </row>
    <row r="21" spans="1:6">
      <c r="A21" s="120" t="s">
        <v>293</v>
      </c>
      <c r="B21" s="444" t="s">
        <v>315</v>
      </c>
      <c r="C21" s="123" t="str">
        <f>IF($G$1="Sync Event Mode",'Timing Parameters_SYNC_EVENT'!CK56,'Timing Parameters_SYNC_PULSE'!CK56)</f>
        <v>03F00120</v>
      </c>
      <c r="D21" s="120" t="s">
        <v>208</v>
      </c>
      <c r="E21" s="132" t="s">
        <v>316</v>
      </c>
      <c r="F21" s="120" t="s">
        <v>317</v>
      </c>
    </row>
    <row r="22" spans="1:5">
      <c r="A22" s="60" t="s">
        <v>293</v>
      </c>
      <c r="B22" s="443" t="s">
        <v>318</v>
      </c>
      <c r="C22" s="123" t="str">
        <f>IF($G$1="Sync Event Mode",'Timing Parameters_SYNC_EVENT'!CK57,'Timing Parameters_SYNC_PULSE'!CK57)</f>
        <v>009C0008</v>
      </c>
      <c r="D22" s="60" t="s">
        <v>211</v>
      </c>
      <c r="E22" s="132" t="s">
        <v>316</v>
      </c>
    </row>
    <row r="23" spans="1:5">
      <c r="A23" s="60" t="s">
        <v>293</v>
      </c>
      <c r="B23" s="443" t="s">
        <v>319</v>
      </c>
      <c r="C23" s="123" t="str">
        <f>IF($G$1="Sync Event Mode",'Timing Parameters_SYNC_EVENT'!CK58,'Timing Parameters_SYNC_PULSE'!CK58)</f>
        <v>009C0400</v>
      </c>
      <c r="D23" s="60" t="s">
        <v>221</v>
      </c>
      <c r="E23" s="132" t="s">
        <v>316</v>
      </c>
    </row>
    <row r="24" spans="1:5">
      <c r="A24" s="60" t="s">
        <v>293</v>
      </c>
      <c r="B24" s="443" t="s">
        <v>320</v>
      </c>
      <c r="C24" s="123" t="str">
        <f>IF($G$1="Sync Event Mode",'Timing Parameters_SYNC_EVENT'!CK59,'Timing Parameters_SYNC_PULSE'!CK59)</f>
        <v>00100006</v>
      </c>
      <c r="D24" s="60" t="s">
        <v>224</v>
      </c>
      <c r="E24" s="132" t="s">
        <v>316</v>
      </c>
    </row>
    <row r="25" spans="1:5">
      <c r="A25" s="60" t="s">
        <v>293</v>
      </c>
      <c r="B25" s="443" t="s">
        <v>321</v>
      </c>
      <c r="C25" s="123" t="str">
        <f>IF($G$1="Sync Event Mode",'Timing Parameters_SYNC_EVENT'!CK60,'Timing Parameters_SYNC_PULSE'!CK60)</f>
        <v>00100258</v>
      </c>
      <c r="D25" s="60" t="s">
        <v>236</v>
      </c>
      <c r="E25" s="132" t="s">
        <v>316</v>
      </c>
    </row>
    <row r="26" spans="1:5">
      <c r="A26" s="60" t="s">
        <v>293</v>
      </c>
      <c r="B26" s="443" t="s">
        <v>322</v>
      </c>
      <c r="C26" s="124" t="s">
        <v>310</v>
      </c>
      <c r="D26" s="60" t="s">
        <v>323</v>
      </c>
      <c r="E26" s="132" t="s">
        <v>316</v>
      </c>
    </row>
    <row r="27" s="60" customFormat="1" spans="1:8">
      <c r="A27" s="60" t="s">
        <v>293</v>
      </c>
      <c r="B27" s="443" t="s">
        <v>324</v>
      </c>
      <c r="C27" s="123" t="str">
        <f>IF($G$1="Sync Event Mode",DEC2HEX('Timing Parameters_SYNC_EVENT'!CU12+4489216,8),DEC2HEX('Timing Parameters_SYNC_PULSE'!CU12+4489216,8))</f>
        <v>0044802D</v>
      </c>
      <c r="D27" s="60" t="s">
        <v>249</v>
      </c>
      <c r="E27" s="132" t="s">
        <v>316</v>
      </c>
      <c r="F27" s="120"/>
      <c r="G27" s="120"/>
      <c r="H27" s="120"/>
    </row>
    <row r="28" s="60" customFormat="1" spans="1:3">
      <c r="A28" s="60" t="s">
        <v>325</v>
      </c>
      <c r="B28" s="120" t="s">
        <v>326</v>
      </c>
      <c r="C28" s="60" t="s">
        <v>327</v>
      </c>
    </row>
    <row r="29" s="60" customFormat="1" spans="1:5">
      <c r="A29" s="60" t="s">
        <v>293</v>
      </c>
      <c r="B29" s="443" t="s">
        <v>324</v>
      </c>
      <c r="C29" s="123" t="str">
        <f>IF($G$1="Sync Event Mode",DEC2HEX('Timing Parameters_SYNC_EVENT'!CU12+294912,8),DEC2HEX('Timing Parameters_SYNC_PULSE'!CU12+294912,8))</f>
        <v>0004802D</v>
      </c>
      <c r="D29" s="60" t="s">
        <v>249</v>
      </c>
      <c r="E29" s="132" t="s">
        <v>316</v>
      </c>
    </row>
    <row r="30" s="60" customFormat="1" spans="1:5">
      <c r="A30" s="60" t="s">
        <v>293</v>
      </c>
      <c r="B30" s="443" t="s">
        <v>328</v>
      </c>
      <c r="C30" s="445" t="s">
        <v>329</v>
      </c>
      <c r="D30" s="60" t="s">
        <v>330</v>
      </c>
      <c r="E30" s="132" t="s">
        <v>316</v>
      </c>
    </row>
    <row r="31" s="60" customFormat="1" spans="1:2">
      <c r="A31" s="122" t="s">
        <v>290</v>
      </c>
      <c r="B31" s="120" t="s">
        <v>291</v>
      </c>
    </row>
    <row r="32" s="60" customFormat="1" spans="1:2">
      <c r="A32" s="122" t="s">
        <v>290</v>
      </c>
      <c r="B32" s="120" t="s">
        <v>331</v>
      </c>
    </row>
    <row r="33" s="60" customFormat="1" spans="1:2">
      <c r="A33" s="122" t="s">
        <v>290</v>
      </c>
      <c r="B33" s="120" t="s">
        <v>291</v>
      </c>
    </row>
    <row r="34" s="60" customFormat="1" spans="1:5">
      <c r="A34" s="123" t="str">
        <f>IF($G$1="Sync Event Mode",'Timing Parameters_SYNC_EVENT'!$CB$61,'Timing Parameters_SYNC_PULSE'!$CB$61)</f>
        <v>WR</v>
      </c>
      <c r="B34" s="446" t="s">
        <v>332</v>
      </c>
      <c r="C34" s="123" t="str">
        <f>IF($G$1="Sync Event Mode",'Timing Parameters_SYNC_EVENT'!CK65,'Timing Parameters_SYNC_PULSE'!CK65)</f>
        <v>03020100</v>
      </c>
      <c r="D34" s="60" t="s">
        <v>259</v>
      </c>
      <c r="E34" s="132" t="s">
        <v>316</v>
      </c>
    </row>
    <row r="35" s="60" customFormat="1" spans="1:5">
      <c r="A35" s="123" t="str">
        <f>IF($G$1="Sync Event Mode",'Timing Parameters_SYNC_EVENT'!$CB$61,'Timing Parameters_SYNC_PULSE'!$CB$61)</f>
        <v>WR</v>
      </c>
      <c r="B35" s="446" t="s">
        <v>333</v>
      </c>
      <c r="C35" s="123" t="str">
        <f>IF($G$1="Sync Event Mode",'Timing Parameters_SYNC_EVENT'!CK66,'Timing Parameters_SYNC_PULSE'!CK66)</f>
        <v>08050704</v>
      </c>
      <c r="D35" s="60" t="s">
        <v>261</v>
      </c>
      <c r="E35" s="132" t="s">
        <v>316</v>
      </c>
    </row>
    <row r="36" s="60" customFormat="1" spans="1:5">
      <c r="A36" s="123" t="str">
        <f>IF($G$1="Sync Event Mode",'Timing Parameters_SYNC_EVENT'!$CB$61,'Timing Parameters_SYNC_PULSE'!$CB$61)</f>
        <v>WR</v>
      </c>
      <c r="B36" s="446" t="s">
        <v>334</v>
      </c>
      <c r="C36" s="123" t="str">
        <f>IF($G$1="Sync Event Mode",'Timing Parameters_SYNC_EVENT'!CK67,'Timing Parameters_SYNC_PULSE'!CK67)</f>
        <v>0F0E0A09</v>
      </c>
      <c r="D36" s="60" t="s">
        <v>263</v>
      </c>
      <c r="E36" s="132" t="s">
        <v>316</v>
      </c>
    </row>
    <row r="37" s="60" customFormat="1" spans="1:5">
      <c r="A37" s="123" t="str">
        <f>IF($G$1="Sync Event Mode",'Timing Parameters_SYNC_EVENT'!$CB$61,'Timing Parameters_SYNC_PULSE'!$CB$61)</f>
        <v>WR</v>
      </c>
      <c r="B37" s="446" t="s">
        <v>335</v>
      </c>
      <c r="C37" s="123" t="str">
        <f>IF($G$1="Sync Event Mode",'Timing Parameters_SYNC_EVENT'!CK68,'Timing Parameters_SYNC_PULSE'!CK68)</f>
        <v>100D0C0B</v>
      </c>
      <c r="D37" s="60" t="s">
        <v>265</v>
      </c>
      <c r="E37" s="132" t="s">
        <v>316</v>
      </c>
    </row>
    <row r="38" s="60" customFormat="1" spans="1:5">
      <c r="A38" s="123" t="str">
        <f>IF($G$1="Sync Event Mode",'Timing Parameters_SYNC_EVENT'!$CB$61,'Timing Parameters_SYNC_PULSE'!$CB$61)</f>
        <v>WR</v>
      </c>
      <c r="B38" s="446" t="s">
        <v>336</v>
      </c>
      <c r="C38" s="123" t="str">
        <f>IF($G$1="Sync Event Mode",'Timing Parameters_SYNC_EVENT'!CK69,'Timing Parameters_SYNC_PULSE'!CK69)</f>
        <v>12111716</v>
      </c>
      <c r="D38" s="60" t="s">
        <v>267</v>
      </c>
      <c r="E38" s="132" t="s">
        <v>316</v>
      </c>
    </row>
    <row r="39" s="60" customFormat="1" spans="1:5">
      <c r="A39" s="123" t="str">
        <f>IF($G$1="Sync Event Mode",'Timing Parameters_SYNC_EVENT'!$CB$61,'Timing Parameters_SYNC_PULSE'!$CB$61)</f>
        <v>WR</v>
      </c>
      <c r="B39" s="446" t="s">
        <v>337</v>
      </c>
      <c r="C39" s="123" t="str">
        <f>IF($G$1="Sync Event Mode",'Timing Parameters_SYNC_EVENT'!CK70,'Timing Parameters_SYNC_PULSE'!CK70)</f>
        <v>1B151413</v>
      </c>
      <c r="D39" s="60" t="s">
        <v>269</v>
      </c>
      <c r="E39" s="132" t="s">
        <v>316</v>
      </c>
    </row>
    <row r="40" s="60" customFormat="1" spans="1:5">
      <c r="A40" s="123" t="str">
        <f>IF($G$1="Sync Event Mode",'Timing Parameters_SYNC_EVENT'!$CB$61,'Timing Parameters_SYNC_PULSE'!$CB$61)</f>
        <v>WR</v>
      </c>
      <c r="B40" s="446" t="s">
        <v>338</v>
      </c>
      <c r="C40" s="123" t="str">
        <f>IF($G$1="Sync Event Mode",'Timing Parameters_SYNC_EVENT'!CK71,'Timing Parameters_SYNC_PULSE'!CK71)</f>
        <v>061A1918</v>
      </c>
      <c r="D40" s="60" t="s">
        <v>271</v>
      </c>
      <c r="E40" s="132" t="s">
        <v>316</v>
      </c>
    </row>
    <row r="41" s="60" customFormat="1" spans="1:2">
      <c r="A41" s="122" t="s">
        <v>290</v>
      </c>
      <c r="B41" s="120" t="s">
        <v>291</v>
      </c>
    </row>
    <row r="42" s="60" customFormat="1" spans="1:2">
      <c r="A42" s="122" t="s">
        <v>290</v>
      </c>
      <c r="B42" s="120" t="s">
        <v>339</v>
      </c>
    </row>
    <row r="43" s="60" customFormat="1" spans="1:2">
      <c r="A43" s="122" t="s">
        <v>290</v>
      </c>
      <c r="B43" s="120" t="s">
        <v>291</v>
      </c>
    </row>
    <row r="44" s="60" customFormat="1" spans="1:8">
      <c r="A44" s="60" t="s">
        <v>293</v>
      </c>
      <c r="B44" s="443" t="s">
        <v>340</v>
      </c>
      <c r="C44" s="123" t="str">
        <f>IF($G$1="Sync Event Mode",'Timing Parameters_SYNC_EVENT'!CK61,'Timing Parameters_SYNC_PULSE'!CK61)</f>
        <v>00000141</v>
      </c>
      <c r="D44" s="60" t="s">
        <v>239</v>
      </c>
      <c r="E44" s="132" t="s">
        <v>316</v>
      </c>
      <c r="F44" s="120" t="s">
        <v>317</v>
      </c>
      <c r="G44" s="120"/>
      <c r="H44" s="120"/>
    </row>
    <row r="45" s="60" customFormat="1" spans="1:5">
      <c r="A45" s="122" t="s">
        <v>341</v>
      </c>
      <c r="B45" s="120"/>
      <c r="C45" s="125"/>
      <c r="E45" s="124"/>
    </row>
    <row r="46" s="60" customFormat="1"/>
    <row r="47" s="60" customFormat="1"/>
    <row r="48" s="60" customFormat="1"/>
    <row r="49" s="60" customFormat="1"/>
    <row r="54" spans="2:2">
      <c r="B54" s="127"/>
    </row>
    <row r="55" spans="1:4">
      <c r="A55" s="60"/>
      <c r="B55" s="60"/>
      <c r="C55" s="60"/>
      <c r="D55" s="60"/>
    </row>
    <row r="56" spans="1:4">
      <c r="A56" s="60"/>
      <c r="B56" s="60"/>
      <c r="C56" s="60"/>
      <c r="D56" s="60"/>
    </row>
    <row r="57" spans="1:4">
      <c r="A57" s="60"/>
      <c r="B57" s="60"/>
      <c r="C57" s="60"/>
      <c r="D57" s="60"/>
    </row>
    <row r="58" spans="1:4">
      <c r="A58" s="60"/>
      <c r="B58" s="60"/>
      <c r="C58" s="60"/>
      <c r="D58" s="60"/>
    </row>
    <row r="59" spans="1:4">
      <c r="A59" s="60"/>
      <c r="B59" s="60"/>
      <c r="C59" s="60"/>
      <c r="D59" s="60"/>
    </row>
    <row r="60" spans="1:4">
      <c r="A60" s="60"/>
      <c r="B60" s="60"/>
      <c r="C60" s="60"/>
      <c r="D60" s="60"/>
    </row>
    <row r="61" spans="1:4">
      <c r="A61" s="60"/>
      <c r="B61" s="60"/>
      <c r="C61" s="60"/>
      <c r="D61" s="60"/>
    </row>
    <row r="62" spans="1:4">
      <c r="A62" s="60"/>
      <c r="B62" s="60"/>
      <c r="C62" s="60"/>
      <c r="D62" s="60"/>
    </row>
    <row r="63" spans="1:4">
      <c r="A63" s="60"/>
      <c r="B63" s="60"/>
      <c r="C63" s="60"/>
      <c r="D63" s="60"/>
    </row>
    <row r="64" spans="1:4">
      <c r="A64" s="60"/>
      <c r="B64" s="60"/>
      <c r="C64" s="60"/>
      <c r="D64" s="60"/>
    </row>
    <row r="65" spans="1:4">
      <c r="A65" s="60"/>
      <c r="B65" s="60"/>
      <c r="C65" s="60"/>
      <c r="D65" s="60"/>
    </row>
    <row r="66" spans="1:4">
      <c r="A66" s="60"/>
      <c r="B66" s="60"/>
      <c r="C66" s="60"/>
      <c r="D66" s="60"/>
    </row>
    <row r="67" spans="1:4">
      <c r="A67" s="60"/>
      <c r="B67" s="60"/>
      <c r="C67" s="60"/>
      <c r="D67" s="60"/>
    </row>
    <row r="68" spans="1:4">
      <c r="A68" s="60"/>
      <c r="B68" s="60"/>
      <c r="C68" s="60"/>
      <c r="D68" s="60"/>
    </row>
    <row r="69" spans="1:4">
      <c r="A69" s="60"/>
      <c r="B69" s="60"/>
      <c r="C69" s="60"/>
      <c r="D69" s="60"/>
    </row>
    <row r="70" spans="1:4">
      <c r="A70" s="60"/>
      <c r="B70" s="60"/>
      <c r="C70" s="60"/>
      <c r="D70" s="60"/>
    </row>
    <row r="71" spans="1:4">
      <c r="A71" s="60"/>
      <c r="B71" s="60"/>
      <c r="C71" s="60"/>
      <c r="D71" s="60"/>
    </row>
    <row r="72" spans="1:4">
      <c r="A72" s="60"/>
      <c r="B72" s="60"/>
      <c r="C72" s="60"/>
      <c r="D72" s="60"/>
    </row>
    <row r="73" spans="1:4">
      <c r="A73" s="60"/>
      <c r="B73" s="60"/>
      <c r="C73" s="60"/>
      <c r="D73" s="60"/>
    </row>
    <row r="74" spans="1:4">
      <c r="A74" s="60"/>
      <c r="B74" s="60"/>
      <c r="C74" s="60"/>
      <c r="D74" s="60"/>
    </row>
    <row r="75" spans="1:4">
      <c r="A75" s="60"/>
      <c r="B75" s="60"/>
      <c r="C75" s="60"/>
      <c r="D75" s="60"/>
    </row>
    <row r="76" spans="1:4">
      <c r="A76" s="60"/>
      <c r="B76" s="60"/>
      <c r="C76" s="60"/>
      <c r="D76" s="60"/>
    </row>
    <row r="77" spans="1:4">
      <c r="A77" s="60"/>
      <c r="B77" s="60"/>
      <c r="C77" s="60"/>
      <c r="D77" s="60"/>
    </row>
    <row r="78" spans="1:4">
      <c r="A78" s="60"/>
      <c r="B78" s="60"/>
      <c r="C78" s="60"/>
      <c r="D78" s="60"/>
    </row>
    <row r="79" spans="1:4">
      <c r="A79" s="60"/>
      <c r="B79" s="60"/>
      <c r="C79" s="60"/>
      <c r="D79" s="60"/>
    </row>
    <row r="80" spans="1:4">
      <c r="A80" s="60"/>
      <c r="B80" s="60"/>
      <c r="C80" s="60"/>
      <c r="D80" s="60"/>
    </row>
    <row r="81" spans="1:4">
      <c r="A81" s="60"/>
      <c r="B81" s="60"/>
      <c r="C81" s="60"/>
      <c r="D81" s="60"/>
    </row>
    <row r="82" spans="1:4">
      <c r="A82" s="60"/>
      <c r="B82" s="60"/>
      <c r="C82" s="60"/>
      <c r="D82" s="60"/>
    </row>
    <row r="83" spans="1:4">
      <c r="A83" s="60"/>
      <c r="B83" s="60"/>
      <c r="C83" s="60"/>
      <c r="D83" s="60"/>
    </row>
    <row r="84" spans="1:4">
      <c r="A84" s="60"/>
      <c r="B84" s="60"/>
      <c r="C84" s="60"/>
      <c r="D84" s="60"/>
    </row>
    <row r="85" spans="1:4">
      <c r="A85" s="60"/>
      <c r="B85" s="60"/>
      <c r="C85" s="60"/>
      <c r="D85" s="60"/>
    </row>
    <row r="86" spans="1:4">
      <c r="A86" s="60"/>
      <c r="B86" s="60"/>
      <c r="C86" s="60"/>
      <c r="D86" s="60"/>
    </row>
    <row r="87" spans="1:4">
      <c r="A87" s="60"/>
      <c r="B87" s="60"/>
      <c r="C87" s="60"/>
      <c r="D87" s="60"/>
    </row>
    <row r="88" spans="1:4">
      <c r="A88" s="60"/>
      <c r="B88" s="60"/>
      <c r="C88" s="60"/>
      <c r="D88" s="60"/>
    </row>
    <row r="89" spans="1:4">
      <c r="A89" s="60"/>
      <c r="B89" s="60"/>
      <c r="C89" s="60"/>
      <c r="D89" s="60"/>
    </row>
    <row r="90" spans="1:4">
      <c r="A90" s="60"/>
      <c r="B90" s="60"/>
      <c r="C90" s="60"/>
      <c r="D90" s="60"/>
    </row>
    <row r="91" spans="1:4">
      <c r="A91" s="60"/>
      <c r="B91" s="60"/>
      <c r="C91" s="60"/>
      <c r="D91" s="60"/>
    </row>
    <row r="92" spans="1:4">
      <c r="A92" s="60"/>
      <c r="B92" s="60"/>
      <c r="C92" s="60"/>
      <c r="D92" s="60"/>
    </row>
    <row r="93" spans="1:4">
      <c r="A93" s="60"/>
      <c r="B93" s="60"/>
      <c r="C93" s="60"/>
      <c r="D93" s="60"/>
    </row>
    <row r="94" spans="1:4">
      <c r="A94" s="60"/>
      <c r="B94" s="60"/>
      <c r="C94" s="60"/>
      <c r="D94" s="60"/>
    </row>
    <row r="95" spans="1:4">
      <c r="A95" s="60"/>
      <c r="B95" s="60"/>
      <c r="C95" s="60"/>
      <c r="D95" s="60"/>
    </row>
    <row r="96" spans="1:4">
      <c r="A96" s="60"/>
      <c r="B96" s="60"/>
      <c r="C96" s="60"/>
      <c r="D96" s="60"/>
    </row>
    <row r="97" spans="1:4">
      <c r="A97" s="60"/>
      <c r="B97" s="60"/>
      <c r="C97" s="60"/>
      <c r="D97" s="60"/>
    </row>
    <row r="98" spans="1:4">
      <c r="A98" s="60"/>
      <c r="B98" s="60"/>
      <c r="C98" s="60"/>
      <c r="D98" s="60"/>
    </row>
    <row r="99" spans="1:4">
      <c r="A99" s="60"/>
      <c r="B99" s="60"/>
      <c r="C99" s="60"/>
      <c r="D99" s="60"/>
    </row>
    <row r="100" spans="1:4">
      <c r="A100" s="60"/>
      <c r="B100" s="60"/>
      <c r="C100" s="60"/>
      <c r="D100" s="60"/>
    </row>
    <row r="101" spans="1:4">
      <c r="A101" s="60"/>
      <c r="B101" s="60"/>
      <c r="C101" s="60"/>
      <c r="D101" s="60"/>
    </row>
    <row r="102" spans="1:4">
      <c r="A102" s="60"/>
      <c r="B102" s="60"/>
      <c r="C102" s="60"/>
      <c r="D102" s="60"/>
    </row>
    <row r="103" spans="1:4">
      <c r="A103" s="60"/>
      <c r="B103" s="60"/>
      <c r="C103" s="60"/>
      <c r="D103" s="60"/>
    </row>
    <row r="104" spans="1:4">
      <c r="A104" s="60"/>
      <c r="B104" s="60"/>
      <c r="C104" s="60"/>
      <c r="D104" s="60"/>
    </row>
    <row r="105" spans="1:4">
      <c r="A105" s="60"/>
      <c r="B105" s="60"/>
      <c r="C105" s="60"/>
      <c r="D105" s="60"/>
    </row>
    <row r="106" spans="1:4">
      <c r="A106" s="60"/>
      <c r="B106" s="60"/>
      <c r="C106" s="60"/>
      <c r="D106" s="60"/>
    </row>
    <row r="107" spans="1:4">
      <c r="A107" s="60"/>
      <c r="B107" s="60"/>
      <c r="C107" s="60"/>
      <c r="D107" s="60"/>
    </row>
    <row r="108" spans="1:4">
      <c r="A108" s="60"/>
      <c r="B108" s="60"/>
      <c r="C108" s="60"/>
      <c r="D108" s="60"/>
    </row>
    <row r="109" spans="1:4">
      <c r="A109" s="60"/>
      <c r="B109" s="60"/>
      <c r="C109" s="60"/>
      <c r="D109" s="60"/>
    </row>
    <row r="110" spans="1:4">
      <c r="A110" s="60"/>
      <c r="B110" s="60"/>
      <c r="C110" s="60"/>
      <c r="D110" s="60"/>
    </row>
    <row r="111" spans="1:4">
      <c r="A111" s="60"/>
      <c r="B111" s="60"/>
      <c r="C111" s="60"/>
      <c r="D111" s="60"/>
    </row>
    <row r="112" spans="1:4">
      <c r="A112" s="60"/>
      <c r="B112" s="60"/>
      <c r="C112" s="60"/>
      <c r="D112" s="60"/>
    </row>
    <row r="113" spans="1:4">
      <c r="A113" s="60"/>
      <c r="B113" s="60"/>
      <c r="C113" s="60"/>
      <c r="D113" s="60"/>
    </row>
    <row r="114" spans="1:4">
      <c r="A114" s="60"/>
      <c r="B114" s="60"/>
      <c r="C114" s="60"/>
      <c r="D114" s="60"/>
    </row>
    <row r="115" spans="1:4">
      <c r="A115" s="60"/>
      <c r="B115" s="60"/>
      <c r="C115" s="60"/>
      <c r="D115" s="60"/>
    </row>
    <row r="116" spans="1:4">
      <c r="A116" s="60"/>
      <c r="B116" s="60"/>
      <c r="C116" s="60"/>
      <c r="D116" s="60"/>
    </row>
    <row r="117" spans="1:4">
      <c r="A117" s="60"/>
      <c r="B117" s="60"/>
      <c r="C117" s="60"/>
      <c r="D117" s="60"/>
    </row>
    <row r="118" spans="1:4">
      <c r="A118" s="60"/>
      <c r="B118" s="60"/>
      <c r="C118" s="60"/>
      <c r="D118" s="60"/>
    </row>
    <row r="119" spans="1:4">
      <c r="A119" s="60"/>
      <c r="B119" s="60"/>
      <c r="C119" s="60"/>
      <c r="D119" s="60"/>
    </row>
    <row r="120" spans="1:4">
      <c r="A120" s="60"/>
      <c r="B120" s="60"/>
      <c r="C120" s="60"/>
      <c r="D120" s="60"/>
    </row>
    <row r="121" spans="1:4">
      <c r="A121" s="60"/>
      <c r="B121" s="60"/>
      <c r="C121" s="60"/>
      <c r="D121" s="60"/>
    </row>
    <row r="122" spans="1:4">
      <c r="A122" s="60"/>
      <c r="B122" s="60"/>
      <c r="C122" s="60"/>
      <c r="D122" s="60"/>
    </row>
    <row r="123" spans="1:4">
      <c r="A123" s="60"/>
      <c r="B123" s="60"/>
      <c r="C123" s="60"/>
      <c r="D123" s="60"/>
    </row>
    <row r="124" spans="1:4">
      <c r="A124" s="60"/>
      <c r="B124" s="60"/>
      <c r="C124" s="60"/>
      <c r="D124" s="60"/>
    </row>
    <row r="125" spans="1:4">
      <c r="A125" s="60"/>
      <c r="B125" s="60"/>
      <c r="C125" s="60"/>
      <c r="D125" s="60"/>
    </row>
    <row r="126" spans="1:4">
      <c r="A126" s="60"/>
      <c r="B126" s="60"/>
      <c r="C126" s="60"/>
      <c r="D126" s="60"/>
    </row>
    <row r="127" spans="1:4">
      <c r="A127" s="60"/>
      <c r="B127" s="60"/>
      <c r="C127" s="60"/>
      <c r="D127" s="60"/>
    </row>
    <row r="128" spans="1:4">
      <c r="A128" s="60"/>
      <c r="B128" s="60"/>
      <c r="C128" s="60"/>
      <c r="D128" s="60"/>
    </row>
    <row r="129" spans="1:4">
      <c r="A129" s="60"/>
      <c r="B129" s="60"/>
      <c r="C129" s="60"/>
      <c r="D129" s="60"/>
    </row>
    <row r="130" spans="1:4">
      <c r="A130" s="60"/>
      <c r="B130" s="60"/>
      <c r="C130" s="60"/>
      <c r="D130" s="60"/>
    </row>
    <row r="131" spans="1:4">
      <c r="A131" s="60"/>
      <c r="B131" s="60"/>
      <c r="C131" s="60"/>
      <c r="D131" s="60"/>
    </row>
    <row r="132" spans="1:4">
      <c r="A132" s="60"/>
      <c r="B132" s="60"/>
      <c r="C132" s="60"/>
      <c r="D132" s="60"/>
    </row>
    <row r="133" spans="1:4">
      <c r="A133" s="60"/>
      <c r="B133" s="60"/>
      <c r="C133" s="60"/>
      <c r="D133" s="60"/>
    </row>
    <row r="134" spans="1:4">
      <c r="A134" s="60"/>
      <c r="B134" s="60"/>
      <c r="C134" s="60"/>
      <c r="D134" s="60"/>
    </row>
    <row r="135" spans="1:4">
      <c r="A135" s="60"/>
      <c r="B135" s="60"/>
      <c r="C135" s="60"/>
      <c r="D135" s="60"/>
    </row>
    <row r="136" spans="1:4">
      <c r="A136" s="60"/>
      <c r="B136" s="60"/>
      <c r="C136" s="60"/>
      <c r="D136" s="60"/>
    </row>
    <row r="137" spans="1:4">
      <c r="A137" s="60"/>
      <c r="B137" s="60"/>
      <c r="C137" s="60"/>
      <c r="D137" s="60"/>
    </row>
    <row r="138" spans="1:4">
      <c r="A138" s="60"/>
      <c r="B138" s="60"/>
      <c r="C138" s="60"/>
      <c r="D138" s="60"/>
    </row>
    <row r="139" spans="1:4">
      <c r="A139" s="60"/>
      <c r="B139" s="60"/>
      <c r="C139" s="60"/>
      <c r="D139" s="60"/>
    </row>
    <row r="140" spans="1:4">
      <c r="A140" s="60"/>
      <c r="B140" s="60"/>
      <c r="C140" s="60"/>
      <c r="D140" s="60"/>
    </row>
    <row r="141" spans="1:4">
      <c r="A141" s="60"/>
      <c r="B141" s="60"/>
      <c r="C141" s="60"/>
      <c r="D141" s="60"/>
    </row>
    <row r="142" spans="1:4">
      <c r="A142" s="60"/>
      <c r="B142" s="60"/>
      <c r="C142" s="60"/>
      <c r="D142" s="60"/>
    </row>
    <row r="143" spans="1:4">
      <c r="A143" s="60"/>
      <c r="B143" s="60"/>
      <c r="C143" s="60"/>
      <c r="D143" s="60"/>
    </row>
    <row r="144" spans="1:4">
      <c r="A144" s="60"/>
      <c r="B144" s="60"/>
      <c r="C144" s="60"/>
      <c r="D144" s="60"/>
    </row>
    <row r="145" spans="1:4">
      <c r="A145" s="60"/>
      <c r="B145" s="60"/>
      <c r="C145" s="60"/>
      <c r="D145" s="60"/>
    </row>
    <row r="146" spans="1:4">
      <c r="A146" s="60"/>
      <c r="B146" s="60"/>
      <c r="C146" s="60"/>
      <c r="D146" s="60"/>
    </row>
    <row r="147" spans="1:4">
      <c r="A147" s="60"/>
      <c r="B147" s="60"/>
      <c r="C147" s="60"/>
      <c r="D147" s="60"/>
    </row>
    <row r="148" spans="1:4">
      <c r="A148" s="60"/>
      <c r="B148" s="60"/>
      <c r="C148" s="60"/>
      <c r="D148" s="60"/>
    </row>
    <row r="149" spans="1:4">
      <c r="A149" s="60"/>
      <c r="B149" s="60"/>
      <c r="C149" s="60"/>
      <c r="D149" s="60"/>
    </row>
    <row r="150" spans="1:4">
      <c r="A150" s="60"/>
      <c r="B150" s="60"/>
      <c r="C150" s="60"/>
      <c r="D150" s="60"/>
    </row>
    <row r="151" spans="1:4">
      <c r="A151" s="60"/>
      <c r="B151" s="60"/>
      <c r="C151" s="60"/>
      <c r="D151" s="60"/>
    </row>
    <row r="152" spans="1:4">
      <c r="A152" s="60"/>
      <c r="B152" s="60"/>
      <c r="C152" s="60"/>
      <c r="D152" s="60"/>
    </row>
    <row r="153" spans="1:4">
      <c r="A153" s="60"/>
      <c r="B153" s="60"/>
      <c r="C153" s="60"/>
      <c r="D153" s="60"/>
    </row>
    <row r="154" spans="1:4">
      <c r="A154" s="60"/>
      <c r="B154" s="60"/>
      <c r="C154" s="60"/>
      <c r="D154" s="60"/>
    </row>
    <row r="155" spans="1:4">
      <c r="A155" s="60"/>
      <c r="B155" s="60"/>
      <c r="C155" s="60"/>
      <c r="D155" s="60"/>
    </row>
    <row r="156" spans="1:4">
      <c r="A156" s="60"/>
      <c r="B156" s="60"/>
      <c r="C156" s="60"/>
      <c r="D156" s="60"/>
    </row>
    <row r="157" spans="1:4">
      <c r="A157" s="60"/>
      <c r="B157" s="60"/>
      <c r="C157" s="60"/>
      <c r="D157" s="60"/>
    </row>
  </sheetData>
  <dataValidations count="1">
    <dataValidation type="list" allowBlank="1" showInputMessage="1" showErrorMessage="1" sqref="G1">
      <formula1>"Sync Event Mode, Sync Pulse Mode"</formula1>
    </dataValidation>
  </dataValidations>
  <pageMargins left="0.75" right="0.75" top="1" bottom="1" header="0.512" footer="0.512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67"/>
  <sheetViews>
    <sheetView showGridLines="0" zoomScaleSheetLayoutView="60" topLeftCell="A64" workbookViewId="0">
      <selection activeCell="L7" sqref="L7"/>
    </sheetView>
  </sheetViews>
  <sheetFormatPr defaultColWidth="5.875" defaultRowHeight="14.25"/>
  <cols>
    <col min="1" max="4" width="5.875" style="120" customWidth="1"/>
    <col min="5" max="16384" width="5.875" style="60"/>
  </cols>
  <sheetData>
    <row r="1" spans="1:1">
      <c r="A1" s="120" t="s">
        <v>342</v>
      </c>
    </row>
    <row r="2" spans="1:1">
      <c r="A2" s="120" t="s">
        <v>343</v>
      </c>
    </row>
    <row r="3" spans="1:1">
      <c r="A3" s="120" t="s">
        <v>344</v>
      </c>
    </row>
    <row r="4" spans="1:1">
      <c r="A4" s="120" t="s">
        <v>345</v>
      </c>
    </row>
    <row r="5" spans="1:1">
      <c r="A5" s="120" t="s">
        <v>346</v>
      </c>
    </row>
    <row r="6" spans="1:1">
      <c r="A6" s="120" t="s">
        <v>347</v>
      </c>
    </row>
    <row r="7" spans="1:1">
      <c r="A7" s="120" t="s">
        <v>348</v>
      </c>
    </row>
    <row r="8" spans="1:1">
      <c r="A8" s="120" t="s">
        <v>349</v>
      </c>
    </row>
    <row r="9" spans="1:1">
      <c r="A9" s="120" t="s">
        <v>350</v>
      </c>
    </row>
    <row r="10" spans="1:1">
      <c r="A10" s="120" t="s">
        <v>351</v>
      </c>
    </row>
    <row r="11" spans="1:1">
      <c r="A11" s="120" t="s">
        <v>352</v>
      </c>
    </row>
    <row r="12" spans="1:1">
      <c r="A12" s="120" t="s">
        <v>353</v>
      </c>
    </row>
    <row r="13" spans="1:1">
      <c r="A13" s="120" t="s">
        <v>354</v>
      </c>
    </row>
    <row r="14" ht="13.5" customHeight="1" spans="1:1">
      <c r="A14" s="120" t="s">
        <v>355</v>
      </c>
    </row>
    <row r="15" spans="1:1">
      <c r="A15" s="120" t="s">
        <v>356</v>
      </c>
    </row>
    <row r="16" spans="1:1">
      <c r="A16" s="120" t="s">
        <v>357</v>
      </c>
    </row>
    <row r="17" spans="1:1">
      <c r="A17" s="120" t="s">
        <v>358</v>
      </c>
    </row>
    <row r="18" spans="1:1">
      <c r="A18" s="120" t="s">
        <v>359</v>
      </c>
    </row>
    <row r="19" spans="1:1">
      <c r="A19" s="120" t="s">
        <v>360</v>
      </c>
    </row>
    <row r="20" spans="1:1">
      <c r="A20" s="120" t="s">
        <v>361</v>
      </c>
    </row>
    <row r="21" spans="1:1">
      <c r="A21" s="120" t="s">
        <v>362</v>
      </c>
    </row>
    <row r="22" spans="1:1">
      <c r="A22" s="120" t="s">
        <v>363</v>
      </c>
    </row>
    <row r="23" spans="1:1">
      <c r="A23" s="120" t="s">
        <v>364</v>
      </c>
    </row>
    <row r="24" spans="1:1">
      <c r="A24" s="120" t="s">
        <v>365</v>
      </c>
    </row>
    <row r="25" spans="1:1">
      <c r="A25" s="120" t="s">
        <v>366</v>
      </c>
    </row>
    <row r="26" spans="1:1">
      <c r="A26" s="120" t="s">
        <v>367</v>
      </c>
    </row>
    <row r="27" spans="1:1">
      <c r="A27" s="120" t="s">
        <v>368</v>
      </c>
    </row>
    <row r="28" spans="1:1">
      <c r="A28" s="120" t="s">
        <v>369</v>
      </c>
    </row>
    <row r="29" spans="1:1">
      <c r="A29" s="120" t="s">
        <v>370</v>
      </c>
    </row>
    <row r="30" spans="1:1">
      <c r="A30" s="120" t="s">
        <v>371</v>
      </c>
    </row>
    <row r="31" spans="1:1">
      <c r="A31" s="120" t="s">
        <v>372</v>
      </c>
    </row>
    <row r="32" spans="1:1">
      <c r="A32" s="120" t="s">
        <v>373</v>
      </c>
    </row>
    <row r="33" spans="1:1">
      <c r="A33" s="120" t="s">
        <v>374</v>
      </c>
    </row>
    <row r="34" spans="1:1">
      <c r="A34" s="120" t="s">
        <v>375</v>
      </c>
    </row>
    <row r="35" spans="1:1">
      <c r="A35" s="120" t="s">
        <v>376</v>
      </c>
    </row>
    <row r="36" spans="1:1">
      <c r="A36" s="120" t="s">
        <v>377</v>
      </c>
    </row>
    <row r="37" spans="1:1">
      <c r="A37" s="120" t="s">
        <v>378</v>
      </c>
    </row>
    <row r="38" spans="1:1">
      <c r="A38" s="120" t="s">
        <v>379</v>
      </c>
    </row>
    <row r="39" spans="1:1">
      <c r="A39" s="120" t="s">
        <v>380</v>
      </c>
    </row>
    <row r="40" spans="1:1">
      <c r="A40" s="120" t="s">
        <v>381</v>
      </c>
    </row>
    <row r="41" spans="1:1">
      <c r="A41" s="120" t="s">
        <v>382</v>
      </c>
    </row>
    <row r="42" spans="1:1">
      <c r="A42" s="120" t="s">
        <v>383</v>
      </c>
    </row>
    <row r="43" spans="1:1">
      <c r="A43" s="120" t="s">
        <v>384</v>
      </c>
    </row>
    <row r="44" spans="1:1">
      <c r="A44" s="120" t="s">
        <v>385</v>
      </c>
    </row>
    <row r="45" spans="1:1">
      <c r="A45" s="120" t="s">
        <v>386</v>
      </c>
    </row>
    <row r="46" spans="1:1">
      <c r="A46" s="120" t="s">
        <v>387</v>
      </c>
    </row>
    <row r="47" spans="1:1">
      <c r="A47" s="120" t="s">
        <v>388</v>
      </c>
    </row>
    <row r="48" spans="1:1">
      <c r="A48" s="120" t="s">
        <v>389</v>
      </c>
    </row>
    <row r="49" spans="1:1">
      <c r="A49" s="120" t="s">
        <v>390</v>
      </c>
    </row>
    <row r="50" spans="1:1">
      <c r="A50" s="120" t="s">
        <v>391</v>
      </c>
    </row>
    <row r="51" spans="1:1">
      <c r="A51" s="120" t="s">
        <v>392</v>
      </c>
    </row>
    <row r="52" spans="1:1">
      <c r="A52" s="120" t="s">
        <v>393</v>
      </c>
    </row>
    <row r="53" spans="1:1">
      <c r="A53" s="120" t="s">
        <v>394</v>
      </c>
    </row>
    <row r="54" spans="1:1">
      <c r="A54" s="120" t="s">
        <v>395</v>
      </c>
    </row>
    <row r="55" spans="1:1">
      <c r="A55" s="120" t="s">
        <v>396</v>
      </c>
    </row>
    <row r="56" spans="1:1">
      <c r="A56" s="120" t="s">
        <v>397</v>
      </c>
    </row>
    <row r="57" spans="1:1">
      <c r="A57" s="120" t="s">
        <v>398</v>
      </c>
    </row>
    <row r="58" spans="1:1">
      <c r="A58" s="120" t="s">
        <v>399</v>
      </c>
    </row>
    <row r="59" spans="1:1">
      <c r="A59" s="120" t="s">
        <v>400</v>
      </c>
    </row>
    <row r="60" spans="1:1">
      <c r="A60" s="120" t="s">
        <v>401</v>
      </c>
    </row>
    <row r="61" spans="1:1">
      <c r="A61" s="120" t="s">
        <v>402</v>
      </c>
    </row>
    <row r="62" spans="1:1">
      <c r="A62" s="120" t="s">
        <v>403</v>
      </c>
    </row>
    <row r="63" spans="1:1">
      <c r="A63" s="120" t="s">
        <v>404</v>
      </c>
    </row>
    <row r="64" spans="1:1">
      <c r="A64" s="120" t="s">
        <v>405</v>
      </c>
    </row>
    <row r="65" spans="1:1">
      <c r="A65" s="120" t="s">
        <v>406</v>
      </c>
    </row>
    <row r="66" spans="1:1">
      <c r="A66" s="120" t="s">
        <v>407</v>
      </c>
    </row>
    <row r="67" spans="1:1">
      <c r="A67" s="120" t="s">
        <v>408</v>
      </c>
    </row>
  </sheetData>
  <pageMargins left="0.7" right="0.7" top="0.75" bottom="0.75" header="0.3" footer="0.3"/>
  <pageSetup paperSize="9" orientation="portrait" horizontalDpi="600" verticalDpi="6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3" name="Button 19" r:id="rId3">
              <controlPr print="0" defaultSize="0">
                <anchor moveWithCells="1" sizeWithCells="1">
                  <from>
                    <xdr:col>15</xdr:col>
                    <xdr:colOff>409575</xdr:colOff>
                    <xdr:row>1</xdr:row>
                    <xdr:rowOff>161925</xdr:rowOff>
                  </from>
                  <to>
                    <xdr:col>19</xdr:col>
                    <xdr:colOff>85725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indexed="8"/>
  </sheetPr>
  <dimension ref="A1:BR53"/>
  <sheetViews>
    <sheetView showGridLines="0" zoomScaleSheetLayoutView="60" topLeftCell="A16" workbookViewId="0">
      <selection activeCell="A1" sqref="A1"/>
    </sheetView>
  </sheetViews>
  <sheetFormatPr defaultColWidth="9" defaultRowHeight="14.25"/>
  <cols>
    <col min="1" max="1" width="5.375" style="60" customWidth="1"/>
    <col min="2" max="2" width="6.625" style="60" customWidth="1"/>
    <col min="3" max="3" width="9.25" style="60" customWidth="1"/>
    <col min="4" max="4" width="5" style="60" customWidth="1"/>
    <col min="5" max="5" width="1.75" style="60" customWidth="1"/>
    <col min="6" max="68" width="1.625" style="60" customWidth="1"/>
    <col min="69" max="69" width="1.75" style="60" customWidth="1"/>
    <col min="70" max="16384" width="9" style="60"/>
  </cols>
  <sheetData>
    <row r="1" ht="18" spans="1:70">
      <c r="A1" s="29" t="s">
        <v>409</v>
      </c>
      <c r="BR1" s="60" t="s">
        <v>7</v>
      </c>
    </row>
    <row r="5" spans="1:1">
      <c r="A5" s="61" t="s">
        <v>410</v>
      </c>
    </row>
    <row r="9" spans="1:1">
      <c r="A9" s="61" t="s">
        <v>411</v>
      </c>
    </row>
    <row r="11" spans="1:1">
      <c r="A11" s="61" t="s">
        <v>412</v>
      </c>
    </row>
    <row r="12" spans="1:67">
      <c r="A12" s="60" t="s">
        <v>283</v>
      </c>
      <c r="B12" s="60" t="s">
        <v>284</v>
      </c>
      <c r="C12" s="60" t="s">
        <v>285</v>
      </c>
      <c r="O12" s="60" t="s">
        <v>413</v>
      </c>
      <c r="V12" s="60" t="s">
        <v>414</v>
      </c>
      <c r="X12" s="60" t="s">
        <v>415</v>
      </c>
      <c r="AE12" s="60" t="s">
        <v>416</v>
      </c>
      <c r="AG12" s="60" t="s">
        <v>415</v>
      </c>
      <c r="AN12" s="60" t="s">
        <v>416</v>
      </c>
      <c r="AP12" s="60" t="s">
        <v>413</v>
      </c>
      <c r="AW12" s="60" t="s">
        <v>414</v>
      </c>
      <c r="AY12" s="60" t="s">
        <v>417</v>
      </c>
      <c r="BF12" s="60" t="s">
        <v>418</v>
      </c>
      <c r="BH12" s="60" t="s">
        <v>419</v>
      </c>
      <c r="BO12" s="60" t="s">
        <v>420</v>
      </c>
    </row>
    <row r="13" ht="44.25" customHeight="1" spans="1:69">
      <c r="A13" s="60" t="s">
        <v>293</v>
      </c>
      <c r="B13" s="447" t="s">
        <v>315</v>
      </c>
      <c r="C13" s="447" t="s">
        <v>421</v>
      </c>
      <c r="D13" s="448" t="s">
        <v>422</v>
      </c>
      <c r="E13" s="97" t="s">
        <v>423</v>
      </c>
      <c r="F13" s="98">
        <v>0</v>
      </c>
      <c r="G13" s="99">
        <v>0</v>
      </c>
      <c r="H13" s="99">
        <v>0</v>
      </c>
      <c r="I13" s="99">
        <v>1</v>
      </c>
      <c r="J13" s="99">
        <v>1</v>
      </c>
      <c r="K13" s="99">
        <v>1</v>
      </c>
      <c r="L13" s="110">
        <v>1</v>
      </c>
      <c r="M13" s="116">
        <v>0</v>
      </c>
      <c r="N13" s="117" t="s">
        <v>424</v>
      </c>
      <c r="O13" s="102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1</v>
      </c>
      <c r="U13" s="103">
        <v>0</v>
      </c>
      <c r="V13" s="112">
        <v>0</v>
      </c>
      <c r="W13" s="118" t="s">
        <v>424</v>
      </c>
      <c r="X13" s="102">
        <v>0</v>
      </c>
      <c r="Y13" s="103">
        <v>0</v>
      </c>
      <c r="Z13" s="103">
        <v>1</v>
      </c>
      <c r="AA13" s="103">
        <v>0</v>
      </c>
      <c r="AB13" s="103">
        <v>1</v>
      </c>
      <c r="AC13" s="103">
        <v>0</v>
      </c>
      <c r="AD13" s="103">
        <v>0</v>
      </c>
      <c r="AE13" s="112">
        <v>0</v>
      </c>
      <c r="AF13" s="118" t="s">
        <v>424</v>
      </c>
      <c r="AG13" s="104">
        <v>0</v>
      </c>
      <c r="AH13" s="105">
        <v>0</v>
      </c>
      <c r="AI13" s="105">
        <v>1</v>
      </c>
      <c r="AJ13" s="105">
        <v>0</v>
      </c>
      <c r="AK13" s="105">
        <v>0</v>
      </c>
      <c r="AL13" s="105">
        <v>0</v>
      </c>
      <c r="AM13" s="105">
        <v>0</v>
      </c>
      <c r="AN13" s="113">
        <v>1</v>
      </c>
      <c r="AO13" s="118" t="s">
        <v>424</v>
      </c>
      <c r="AP13" s="104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105">
        <v>0</v>
      </c>
      <c r="AW13" s="113">
        <v>1</v>
      </c>
      <c r="AX13" s="118" t="s">
        <v>424</v>
      </c>
      <c r="AY13" s="104">
        <v>0</v>
      </c>
      <c r="AZ13" s="105">
        <v>1</v>
      </c>
      <c r="BA13" s="105">
        <v>0</v>
      </c>
      <c r="BB13" s="105">
        <v>0</v>
      </c>
      <c r="BC13" s="105">
        <v>0</v>
      </c>
      <c r="BD13" s="105">
        <v>0</v>
      </c>
      <c r="BE13" s="105">
        <v>0</v>
      </c>
      <c r="BF13" s="113">
        <v>0</v>
      </c>
      <c r="BG13" s="118" t="s">
        <v>424</v>
      </c>
      <c r="BH13" s="104">
        <v>0</v>
      </c>
      <c r="BI13" s="105">
        <v>0</v>
      </c>
      <c r="BJ13" s="105">
        <v>0</v>
      </c>
      <c r="BK13" s="105">
        <v>0</v>
      </c>
      <c r="BL13" s="105">
        <v>0</v>
      </c>
      <c r="BM13" s="105">
        <v>1</v>
      </c>
      <c r="BN13" s="105">
        <v>1</v>
      </c>
      <c r="BO13" s="113">
        <v>0</v>
      </c>
      <c r="BP13" s="118" t="s">
        <v>424</v>
      </c>
      <c r="BQ13" s="119" t="s">
        <v>425</v>
      </c>
    </row>
    <row r="17" ht="18" spans="1:1">
      <c r="A17" s="29" t="s">
        <v>426</v>
      </c>
    </row>
    <row r="29" spans="1:1">
      <c r="A29" s="61" t="s">
        <v>410</v>
      </c>
    </row>
    <row r="42" spans="1:12">
      <c r="A42" s="60" t="s">
        <v>283</v>
      </c>
      <c r="B42" s="60" t="s">
        <v>284</v>
      </c>
      <c r="C42" s="60" t="s">
        <v>285</v>
      </c>
      <c r="E42" s="60" t="s">
        <v>253</v>
      </c>
      <c r="L42" s="60" t="s">
        <v>229</v>
      </c>
    </row>
    <row r="43" spans="1:12">
      <c r="A43" s="60" t="s">
        <v>293</v>
      </c>
      <c r="B43" s="447" t="s">
        <v>315</v>
      </c>
      <c r="C43" s="447" t="s">
        <v>421</v>
      </c>
      <c r="D43" s="447" t="s">
        <v>422</v>
      </c>
      <c r="E43" s="98">
        <v>0</v>
      </c>
      <c r="F43" s="99">
        <v>0</v>
      </c>
      <c r="G43" s="99">
        <v>1</v>
      </c>
      <c r="H43" s="99">
        <v>0</v>
      </c>
      <c r="I43" s="99">
        <v>1</v>
      </c>
      <c r="J43" s="99">
        <v>0</v>
      </c>
      <c r="K43" s="99">
        <v>0</v>
      </c>
      <c r="L43" s="110">
        <v>1</v>
      </c>
    </row>
    <row r="44" spans="5:12">
      <c r="E44" s="98">
        <v>0</v>
      </c>
      <c r="F44" s="99">
        <v>0</v>
      </c>
      <c r="G44" s="99">
        <v>0</v>
      </c>
      <c r="H44" s="99">
        <v>0</v>
      </c>
      <c r="I44" s="99">
        <v>0</v>
      </c>
      <c r="J44" s="99">
        <v>1</v>
      </c>
      <c r="K44" s="99">
        <v>1</v>
      </c>
      <c r="L44" s="110">
        <v>0</v>
      </c>
    </row>
    <row r="45" spans="5:12">
      <c r="E45" s="100" t="s">
        <v>427</v>
      </c>
      <c r="F45" s="101"/>
      <c r="G45" s="101"/>
      <c r="H45" s="101"/>
      <c r="I45" s="101"/>
      <c r="J45" s="101"/>
      <c r="K45" s="101"/>
      <c r="L45" s="111"/>
    </row>
    <row r="46" spans="5:12">
      <c r="E46" s="102">
        <v>0</v>
      </c>
      <c r="F46" s="103">
        <v>1</v>
      </c>
      <c r="G46" s="103">
        <v>0</v>
      </c>
      <c r="H46" s="103">
        <v>1</v>
      </c>
      <c r="I46" s="103">
        <v>0</v>
      </c>
      <c r="J46" s="103">
        <v>0</v>
      </c>
      <c r="K46" s="103">
        <v>0</v>
      </c>
      <c r="L46" s="112">
        <v>0</v>
      </c>
    </row>
    <row r="47" spans="5:12">
      <c r="E47" s="102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1</v>
      </c>
      <c r="K47" s="103">
        <v>0</v>
      </c>
      <c r="L47" s="112">
        <v>0</v>
      </c>
    </row>
    <row r="48" spans="5:12">
      <c r="E48" s="104">
        <v>0</v>
      </c>
      <c r="F48" s="105">
        <v>0</v>
      </c>
      <c r="G48" s="105">
        <v>1</v>
      </c>
      <c r="H48" s="105">
        <v>0</v>
      </c>
      <c r="I48" s="105">
        <v>0</v>
      </c>
      <c r="J48" s="105">
        <v>0</v>
      </c>
      <c r="K48" s="105">
        <v>0</v>
      </c>
      <c r="L48" s="113">
        <v>1</v>
      </c>
    </row>
    <row r="49" spans="5:12">
      <c r="E49" s="104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13">
        <v>1</v>
      </c>
    </row>
    <row r="50" spans="5:12">
      <c r="E50" s="104">
        <v>0</v>
      </c>
      <c r="F50" s="105">
        <v>1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13">
        <v>0</v>
      </c>
    </row>
    <row r="51" spans="5:12">
      <c r="E51" s="104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1</v>
      </c>
      <c r="K51" s="105">
        <v>1</v>
      </c>
      <c r="L51" s="113">
        <v>0</v>
      </c>
    </row>
    <row r="52" spans="5:12">
      <c r="E52" s="106" t="s">
        <v>428</v>
      </c>
      <c r="F52" s="107"/>
      <c r="G52" s="107"/>
      <c r="H52" s="107"/>
      <c r="I52" s="107"/>
      <c r="J52" s="107"/>
      <c r="K52" s="107"/>
      <c r="L52" s="114"/>
    </row>
    <row r="53" spans="5:12">
      <c r="E53" s="108"/>
      <c r="F53" s="109"/>
      <c r="G53" s="109"/>
      <c r="H53" s="109"/>
      <c r="I53" s="109"/>
      <c r="J53" s="109"/>
      <c r="K53" s="109"/>
      <c r="L53" s="115"/>
    </row>
  </sheetData>
  <sheetProtection password="EE8F" sheet="1" selectLockedCells="1" objects="1" scenarios="1"/>
  <mergeCells count="2">
    <mergeCell ref="E45:L45"/>
    <mergeCell ref="E52:L53"/>
  </mergeCells>
  <pageMargins left="0.75" right="0.75" top="1" bottom="1" header="0.512" footer="0.51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indexed="8"/>
  </sheetPr>
  <dimension ref="A1:AU38"/>
  <sheetViews>
    <sheetView showGridLines="0" zoomScaleSheetLayoutView="60" workbookViewId="0">
      <selection activeCell="AN62" sqref="AN62"/>
    </sheetView>
  </sheetViews>
  <sheetFormatPr defaultColWidth="1.625" defaultRowHeight="14.25"/>
  <cols>
    <col min="1" max="1" width="25.25" style="60" customWidth="1"/>
    <col min="2" max="16384" width="1.625" style="60"/>
  </cols>
  <sheetData>
    <row r="1" spans="1:1">
      <c r="A1" s="61" t="s">
        <v>7</v>
      </c>
    </row>
    <row r="2" ht="18" spans="1:1">
      <c r="A2" s="29" t="s">
        <v>429</v>
      </c>
    </row>
    <row r="3" spans="1:1">
      <c r="A3" s="60" t="s">
        <v>430</v>
      </c>
    </row>
    <row r="4" spans="1:1">
      <c r="A4" s="60" t="s">
        <v>431</v>
      </c>
    </row>
    <row r="6" spans="2:40">
      <c r="B6" s="62"/>
      <c r="AN6" s="62"/>
    </row>
    <row r="7" spans="2:40">
      <c r="B7" s="62"/>
      <c r="AN7" s="62"/>
    </row>
    <row r="8" ht="37.5" spans="1:43">
      <c r="A8" s="29" t="s">
        <v>432</v>
      </c>
      <c r="B8" s="63" t="s">
        <v>136</v>
      </c>
      <c r="C8" s="64" t="s">
        <v>433</v>
      </c>
      <c r="D8" s="65"/>
      <c r="E8" s="71"/>
      <c r="F8" s="72" t="s">
        <v>434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93"/>
      <c r="AC8" s="64" t="s">
        <v>435</v>
      </c>
      <c r="AD8" s="65"/>
      <c r="AE8" s="65"/>
      <c r="AF8" s="65"/>
      <c r="AG8" s="65"/>
      <c r="AH8" s="65"/>
      <c r="AI8" s="65"/>
      <c r="AJ8" s="65"/>
      <c r="AK8" s="65"/>
      <c r="AL8" s="65"/>
      <c r="AM8" s="71"/>
      <c r="AN8" s="63" t="s">
        <v>136</v>
      </c>
      <c r="AO8" s="64" t="s">
        <v>433</v>
      </c>
      <c r="AP8" s="65"/>
      <c r="AQ8" s="71"/>
    </row>
    <row r="9" spans="2:29">
      <c r="B9" s="66"/>
      <c r="F9" s="66"/>
      <c r="AC9" s="66"/>
    </row>
    <row r="10" spans="2:37">
      <c r="B10" s="62"/>
      <c r="F10" s="62"/>
      <c r="M10" s="62"/>
      <c r="AC10" s="62"/>
      <c r="AF10" s="80"/>
      <c r="AK10" s="62"/>
    </row>
    <row r="11" spans="2:37">
      <c r="B11" s="62"/>
      <c r="F11" s="74"/>
      <c r="M11" s="62"/>
      <c r="AF11" s="74"/>
      <c r="AK11" s="62"/>
    </row>
    <row r="12" ht="45.75" customHeight="1" spans="1:46">
      <c r="A12" s="67" t="s">
        <v>436</v>
      </c>
      <c r="B12" s="62"/>
      <c r="E12" s="75" t="s">
        <v>66</v>
      </c>
      <c r="F12" s="76"/>
      <c r="G12" s="76"/>
      <c r="H12" s="77"/>
      <c r="I12" s="85" t="s">
        <v>67</v>
      </c>
      <c r="J12" s="86"/>
      <c r="K12" s="86"/>
      <c r="L12" s="87"/>
      <c r="M12" s="91" t="s">
        <v>437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4"/>
      <c r="AK12" s="95" t="s">
        <v>141</v>
      </c>
      <c r="AL12" s="86"/>
      <c r="AM12" s="86"/>
      <c r="AN12" s="86"/>
      <c r="AO12" s="86"/>
      <c r="AP12" s="87"/>
      <c r="AQ12" s="75" t="s">
        <v>66</v>
      </c>
      <c r="AR12" s="76"/>
      <c r="AS12" s="76"/>
      <c r="AT12" s="77"/>
    </row>
    <row r="13" spans="5:43">
      <c r="E13" s="78"/>
      <c r="I13" s="88"/>
      <c r="M13" s="78"/>
      <c r="AK13" s="78"/>
      <c r="AQ13" s="66"/>
    </row>
    <row r="14" spans="5:43">
      <c r="E14" s="78"/>
      <c r="I14" s="78"/>
      <c r="M14" s="78"/>
      <c r="AK14" s="78"/>
      <c r="AQ14" s="62"/>
    </row>
    <row r="15" spans="5:43">
      <c r="E15" s="78"/>
      <c r="AQ15" s="78"/>
    </row>
    <row r="16" spans="5:43">
      <c r="E16" s="78"/>
      <c r="AQ16" s="78"/>
    </row>
    <row r="24" ht="18" spans="1:1">
      <c r="A24" s="29" t="s">
        <v>438</v>
      </c>
    </row>
    <row r="25" customHeight="1" spans="1:1">
      <c r="A25" s="68" t="s">
        <v>439</v>
      </c>
    </row>
    <row r="26" ht="13.5" customHeight="1" spans="1:1">
      <c r="A26" s="68" t="s">
        <v>440</v>
      </c>
    </row>
    <row r="28" spans="2:40">
      <c r="B28" s="62"/>
      <c r="AN28" s="62"/>
    </row>
    <row r="29" ht="13.5" customHeight="1" spans="2:40">
      <c r="B29" s="62"/>
      <c r="AN29" s="62"/>
    </row>
    <row r="30" ht="37.5" spans="1:47">
      <c r="A30" s="29" t="s">
        <v>432</v>
      </c>
      <c r="B30" s="63" t="s">
        <v>136</v>
      </c>
      <c r="C30" s="69" t="s">
        <v>441</v>
      </c>
      <c r="D30" s="70"/>
      <c r="E30" s="63" t="s">
        <v>442</v>
      </c>
      <c r="F30" s="64" t="s">
        <v>433</v>
      </c>
      <c r="G30" s="65"/>
      <c r="H30" s="65"/>
      <c r="I30" s="71"/>
      <c r="J30" s="72" t="s">
        <v>434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93"/>
      <c r="AC30" s="64" t="s">
        <v>435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71"/>
      <c r="AN30" s="63" t="s">
        <v>136</v>
      </c>
      <c r="AO30" s="69" t="s">
        <v>441</v>
      </c>
      <c r="AP30" s="70"/>
      <c r="AQ30" s="63" t="s">
        <v>442</v>
      </c>
      <c r="AR30" s="64" t="s">
        <v>433</v>
      </c>
      <c r="AS30" s="65"/>
      <c r="AT30" s="65"/>
      <c r="AU30" s="71"/>
    </row>
    <row r="31" spans="2:29">
      <c r="B31" s="66"/>
      <c r="F31" s="79"/>
      <c r="J31" s="88"/>
      <c r="AC31" s="66"/>
    </row>
    <row r="32" spans="2:37">
      <c r="B32" s="62"/>
      <c r="F32" s="80"/>
      <c r="J32" s="78"/>
      <c r="L32" s="80"/>
      <c r="M32" s="78"/>
      <c r="AC32" s="62"/>
      <c r="AK32" s="62"/>
    </row>
    <row r="33" spans="2:37">
      <c r="B33" s="62"/>
      <c r="L33" s="80"/>
      <c r="M33" s="78"/>
      <c r="AK33" s="62"/>
    </row>
    <row r="34" ht="45.75" customHeight="1" spans="1:46">
      <c r="A34" s="67" t="s">
        <v>436</v>
      </c>
      <c r="B34" s="62"/>
      <c r="E34" s="81" t="s">
        <v>66</v>
      </c>
      <c r="F34" s="82"/>
      <c r="G34" s="83"/>
      <c r="H34" s="84" t="s">
        <v>137</v>
      </c>
      <c r="I34" s="89"/>
      <c r="J34" s="89"/>
      <c r="K34" s="89"/>
      <c r="L34" s="90"/>
      <c r="M34" s="91" t="s">
        <v>437</v>
      </c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4"/>
      <c r="AK34" s="95" t="s">
        <v>141</v>
      </c>
      <c r="AL34" s="86"/>
      <c r="AM34" s="86"/>
      <c r="AN34" s="86"/>
      <c r="AO34" s="86"/>
      <c r="AP34" s="87"/>
      <c r="AQ34" s="81" t="s">
        <v>66</v>
      </c>
      <c r="AR34" s="82"/>
      <c r="AS34" s="83"/>
      <c r="AT34"/>
    </row>
    <row r="35" spans="5:43">
      <c r="E35" s="78"/>
      <c r="H35" s="78"/>
      <c r="M35" s="88"/>
      <c r="AK35" s="88"/>
      <c r="AQ35" s="78"/>
    </row>
    <row r="36" spans="5:43">
      <c r="E36" s="78"/>
      <c r="H36" s="78"/>
      <c r="M36" s="78"/>
      <c r="AK36" s="78"/>
      <c r="AQ36" s="78"/>
    </row>
    <row r="37" spans="5:43">
      <c r="E37" s="78"/>
      <c r="AQ37" s="78"/>
    </row>
    <row r="38" spans="5:43">
      <c r="E38" s="78"/>
      <c r="AQ38" s="78"/>
    </row>
  </sheetData>
  <sheetProtection password="EE8F" sheet="1" selectLockedCells="1" objects="1" scenarios="1"/>
  <mergeCells count="20">
    <mergeCell ref="C8:E8"/>
    <mergeCell ref="F8:AB8"/>
    <mergeCell ref="AC8:AM8"/>
    <mergeCell ref="AO8:AQ8"/>
    <mergeCell ref="E12:H12"/>
    <mergeCell ref="I12:L12"/>
    <mergeCell ref="M12:AJ12"/>
    <mergeCell ref="AK12:AP12"/>
    <mergeCell ref="AQ12:AT12"/>
    <mergeCell ref="C30:D30"/>
    <mergeCell ref="F30:I30"/>
    <mergeCell ref="J30:AB30"/>
    <mergeCell ref="AC30:AM30"/>
    <mergeCell ref="AO30:AP30"/>
    <mergeCell ref="AR30:AU30"/>
    <mergeCell ref="E34:G34"/>
    <mergeCell ref="H34:L34"/>
    <mergeCell ref="M34:AJ34"/>
    <mergeCell ref="AK34:AP34"/>
    <mergeCell ref="AQ34:AS34"/>
  </mergeCells>
  <pageMargins left="0.75" right="0.75" top="1" bottom="1" header="0.512" footer="0.51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indexed="8"/>
  </sheetPr>
  <dimension ref="A1:CL33"/>
  <sheetViews>
    <sheetView showGridLines="0" zoomScaleSheetLayoutView="60" workbookViewId="0">
      <selection activeCell="A1" sqref="A1"/>
    </sheetView>
  </sheetViews>
  <sheetFormatPr defaultColWidth="2.125" defaultRowHeight="18"/>
  <cols>
    <col min="1" max="1" width="9" customWidth="1"/>
    <col min="2" max="44" width="2.125" customWidth="1"/>
    <col min="45" max="45" width="2" customWidth="1"/>
  </cols>
  <sheetData>
    <row r="1" ht="23.25" spans="1:80">
      <c r="A1" s="29" t="s">
        <v>443</v>
      </c>
      <c r="CB1" s="59" t="s">
        <v>7</v>
      </c>
    </row>
    <row r="3" spans="1:89">
      <c r="A3" t="s">
        <v>91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19"/>
      <c r="AE3" s="8"/>
      <c r="AF3" s="8"/>
      <c r="AG3" s="8"/>
      <c r="AH3" s="8"/>
      <c r="AI3" s="8"/>
      <c r="AJ3" s="8"/>
      <c r="AK3" s="8"/>
      <c r="AL3" s="8"/>
      <c r="AM3" s="8"/>
      <c r="AN3" s="8"/>
      <c r="AO3" s="20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19"/>
      <c r="CI3" s="8"/>
      <c r="CJ3" s="8"/>
      <c r="CK3" s="8"/>
    </row>
    <row r="4" ht="7.5" customHeight="1" spans="30:42">
      <c r="AD4" s="38"/>
      <c r="AP4" s="34"/>
    </row>
    <row r="5" spans="2:89">
      <c r="B5" s="8"/>
      <c r="C5" s="8"/>
      <c r="D5" s="8"/>
      <c r="E5" s="8"/>
      <c r="F5" s="22"/>
      <c r="G5" s="5"/>
      <c r="H5" s="5"/>
      <c r="I5" s="5"/>
      <c r="J5" s="5"/>
      <c r="K5" s="5"/>
      <c r="L5" s="5"/>
      <c r="M5" s="2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35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35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22"/>
      <c r="BK5" s="5"/>
      <c r="BL5" s="5"/>
      <c r="BM5" s="5"/>
      <c r="BN5" s="5"/>
      <c r="BO5" s="5"/>
      <c r="BP5" s="5"/>
      <c r="BQ5" s="23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</row>
    <row r="6" spans="1:70">
      <c r="A6" t="s">
        <v>103</v>
      </c>
      <c r="F6" s="34"/>
      <c r="N6" s="38"/>
      <c r="AD6" s="34"/>
      <c r="AP6" s="34"/>
      <c r="BJ6" s="34"/>
      <c r="BR6" s="38"/>
    </row>
    <row r="7" spans="6:70">
      <c r="F7" s="34"/>
      <c r="N7" s="34"/>
      <c r="AD7" s="34"/>
      <c r="AP7" s="34"/>
      <c r="BJ7" s="34"/>
      <c r="BR7" s="34"/>
    </row>
    <row r="8" spans="6:90">
      <c r="F8" s="34"/>
      <c r="N8" s="34"/>
      <c r="P8" s="39"/>
      <c r="Z8" s="39"/>
      <c r="AD8" s="34"/>
      <c r="AH8" s="39"/>
      <c r="AP8" s="34"/>
      <c r="AT8" s="39"/>
      <c r="BF8" s="39"/>
      <c r="BJ8" s="34"/>
      <c r="BR8" s="34"/>
      <c r="BT8" s="39"/>
      <c r="CH8" s="39"/>
      <c r="CL8" s="39"/>
    </row>
    <row r="9" spans="2:90">
      <c r="B9" s="19"/>
      <c r="F9" s="35"/>
      <c r="N9" s="35"/>
      <c r="P9" s="19"/>
      <c r="Z9" s="8"/>
      <c r="AD9" s="19"/>
      <c r="AH9" s="19"/>
      <c r="AP9" s="19"/>
      <c r="AT9" s="19"/>
      <c r="BF9" s="19"/>
      <c r="BJ9" s="35"/>
      <c r="BR9" s="35"/>
      <c r="BT9" s="19"/>
      <c r="CH9" s="19"/>
      <c r="CL9" s="42"/>
    </row>
    <row r="10" ht="87" customHeight="1" spans="1:89">
      <c r="A10" s="30" t="s">
        <v>444</v>
      </c>
      <c r="B10" s="31" t="s">
        <v>445</v>
      </c>
      <c r="C10" s="32" t="s">
        <v>446</v>
      </c>
      <c r="D10" s="33"/>
      <c r="E10" s="31" t="s">
        <v>427</v>
      </c>
      <c r="F10" s="36"/>
      <c r="G10" s="37"/>
      <c r="H10" s="37"/>
      <c r="I10" s="37"/>
      <c r="J10" s="37"/>
      <c r="K10" s="37"/>
      <c r="L10" s="37"/>
      <c r="M10" s="40"/>
      <c r="N10" s="32" t="s">
        <v>428</v>
      </c>
      <c r="O10" s="33"/>
      <c r="P10" s="41" t="s">
        <v>445</v>
      </c>
      <c r="Q10" s="43" t="s">
        <v>446</v>
      </c>
      <c r="R10" s="44"/>
      <c r="S10" s="41" t="s">
        <v>427</v>
      </c>
      <c r="T10" s="11"/>
      <c r="U10" s="45"/>
      <c r="V10" s="45"/>
      <c r="W10" s="45"/>
      <c r="X10" s="45"/>
      <c r="Y10" s="45"/>
      <c r="Z10" s="45"/>
      <c r="AA10" s="46"/>
      <c r="AB10" s="43" t="s">
        <v>428</v>
      </c>
      <c r="AC10" s="44"/>
      <c r="AD10" s="47" t="s">
        <v>445</v>
      </c>
      <c r="AE10" s="48"/>
      <c r="AF10" s="49"/>
      <c r="AG10" s="47" t="s">
        <v>427</v>
      </c>
      <c r="AH10" s="41" t="s">
        <v>445</v>
      </c>
      <c r="AI10" s="43" t="s">
        <v>446</v>
      </c>
      <c r="AJ10" s="44"/>
      <c r="AK10" s="41" t="s">
        <v>427</v>
      </c>
      <c r="AL10" s="11"/>
      <c r="AM10" s="45"/>
      <c r="AN10" s="43" t="s">
        <v>428</v>
      </c>
      <c r="AO10" s="44"/>
      <c r="AP10" s="47" t="s">
        <v>445</v>
      </c>
      <c r="AQ10" s="48"/>
      <c r="AR10" s="49"/>
      <c r="AS10" s="47" t="s">
        <v>427</v>
      </c>
      <c r="AT10" s="41" t="s">
        <v>445</v>
      </c>
      <c r="AU10" s="43" t="s">
        <v>446</v>
      </c>
      <c r="AV10" s="44"/>
      <c r="AW10" s="41" t="s">
        <v>427</v>
      </c>
      <c r="AX10" s="11"/>
      <c r="AY10" s="45"/>
      <c r="AZ10" s="45"/>
      <c r="BA10" s="45"/>
      <c r="BB10" s="45"/>
      <c r="BC10" s="46"/>
      <c r="BD10" s="43" t="s">
        <v>428</v>
      </c>
      <c r="BE10" s="44"/>
      <c r="BF10" s="31" t="s">
        <v>445</v>
      </c>
      <c r="BG10" s="32" t="s">
        <v>446</v>
      </c>
      <c r="BH10" s="33"/>
      <c r="BI10" s="31" t="s">
        <v>427</v>
      </c>
      <c r="BJ10" s="36"/>
      <c r="BK10" s="37"/>
      <c r="BL10" s="37"/>
      <c r="BM10" s="37"/>
      <c r="BN10" s="37"/>
      <c r="BO10" s="37"/>
      <c r="BP10" s="37"/>
      <c r="BQ10" s="40"/>
      <c r="BR10" s="32" t="s">
        <v>428</v>
      </c>
      <c r="BS10" s="33"/>
      <c r="BT10" s="41" t="s">
        <v>445</v>
      </c>
      <c r="BU10" s="43" t="s">
        <v>446</v>
      </c>
      <c r="BV10" s="44"/>
      <c r="BW10" s="41" t="s">
        <v>427</v>
      </c>
      <c r="BX10" s="11"/>
      <c r="BY10" s="45"/>
      <c r="BZ10" s="45"/>
      <c r="CA10" s="45"/>
      <c r="CB10" s="45"/>
      <c r="CC10" s="45"/>
      <c r="CD10" s="45"/>
      <c r="CE10" s="46"/>
      <c r="CF10" s="43" t="s">
        <v>428</v>
      </c>
      <c r="CG10" s="44"/>
      <c r="CH10" s="47" t="s">
        <v>445</v>
      </c>
      <c r="CI10" s="48"/>
      <c r="CJ10" s="49"/>
      <c r="CK10" s="47" t="s">
        <v>427</v>
      </c>
    </row>
    <row r="11" spans="14:62">
      <c r="N11" s="22"/>
      <c r="P11" s="22"/>
      <c r="AB11" s="22"/>
      <c r="AD11" s="22"/>
      <c r="AH11" s="22"/>
      <c r="AL11" s="22"/>
      <c r="AP11" s="22"/>
      <c r="AT11" s="22"/>
      <c r="AX11" s="22"/>
      <c r="BD11" s="22"/>
      <c r="BF11" s="22"/>
      <c r="BJ11" s="22"/>
    </row>
    <row r="12" spans="14:62">
      <c r="N12" s="42"/>
      <c r="AD12" s="42"/>
      <c r="AP12" s="42"/>
      <c r="BF12" s="42"/>
      <c r="BJ12" s="42"/>
    </row>
    <row r="13" spans="14:62">
      <c r="N13" s="42"/>
      <c r="AD13" s="42"/>
      <c r="AF13" s="50">
        <f>'Timing Parameters_SYNC_PULSE'!CJ22</f>
        <v>405.797101449275</v>
      </c>
      <c r="AG13" s="53"/>
      <c r="AH13" t="s">
        <v>447</v>
      </c>
      <c r="AI13">
        <v>1</v>
      </c>
      <c r="AJ13" t="s">
        <v>448</v>
      </c>
      <c r="AK13" s="55">
        <f>'Timing Parameters_SYNC_PULSE'!CJ8</f>
        <v>80.825</v>
      </c>
      <c r="AL13" s="56"/>
      <c r="AM13" t="s">
        <v>80</v>
      </c>
      <c r="AP13" s="42"/>
      <c r="AT13" s="50">
        <f>'Timing Parameters_SYNC_PULSE'!AF17</f>
        <v>724.63768115942</v>
      </c>
      <c r="AU13" s="53"/>
      <c r="AV13" t="s">
        <v>447</v>
      </c>
      <c r="AW13">
        <v>1</v>
      </c>
      <c r="AX13" t="s">
        <v>448</v>
      </c>
      <c r="AY13" s="55">
        <f>'Timing Parameters_SYNC_PULSE'!CJ8</f>
        <v>80.825</v>
      </c>
      <c r="AZ13" s="56"/>
      <c r="BA13" t="s">
        <v>80</v>
      </c>
      <c r="BF13" s="42"/>
      <c r="BJ13" s="42"/>
    </row>
    <row r="14" spans="14:62">
      <c r="N14" s="42"/>
      <c r="AD14" s="39"/>
      <c r="AF14" s="51" t="s">
        <v>66</v>
      </c>
      <c r="AG14" s="51"/>
      <c r="AH14" s="51"/>
      <c r="AI14" s="51"/>
      <c r="AJ14" s="51"/>
      <c r="AK14" s="51" t="s">
        <v>100</v>
      </c>
      <c r="AL14" s="51"/>
      <c r="AM14" s="51"/>
      <c r="AP14" s="39"/>
      <c r="AT14" s="51" t="s">
        <v>137</v>
      </c>
      <c r="AU14" s="51"/>
      <c r="AV14" s="51"/>
      <c r="AW14" s="51"/>
      <c r="AX14" s="51"/>
      <c r="AY14" s="51" t="s">
        <v>100</v>
      </c>
      <c r="AZ14" s="51"/>
      <c r="BA14" s="51"/>
      <c r="BF14" s="39"/>
      <c r="BJ14" s="42"/>
    </row>
    <row r="15" spans="14:62">
      <c r="N15" s="42"/>
      <c r="BF15" s="39"/>
      <c r="BJ15" s="42"/>
    </row>
    <row r="16" spans="14:62">
      <c r="N16" s="39"/>
      <c r="AC16" s="52" t="s">
        <v>449</v>
      </c>
      <c r="AD16" s="50">
        <f>'Timing Parameters_SYNC_PULSE'!CJ22</f>
        <v>405.797101449275</v>
      </c>
      <c r="AE16" s="53"/>
      <c r="AF16" s="54" t="s">
        <v>450</v>
      </c>
      <c r="AG16" s="50">
        <f>'Timing Parameters_SYNC_PULSE'!AF17</f>
        <v>724.63768115942</v>
      </c>
      <c r="AH16" s="53"/>
      <c r="AI16" s="54" t="s">
        <v>450</v>
      </c>
      <c r="AJ16" s="50">
        <f>'Timing Parameters_SYNC_PULSE'!BO17</f>
        <v>695.652173913044</v>
      </c>
      <c r="AK16" s="53"/>
      <c r="AL16" t="s">
        <v>451</v>
      </c>
      <c r="AM16" s="57" t="s">
        <v>447</v>
      </c>
      <c r="AN16" s="57">
        <v>1</v>
      </c>
      <c r="AO16" s="57" t="s">
        <v>448</v>
      </c>
      <c r="AP16" s="55">
        <f>'Timing Parameters_SYNC_PULSE'!CJ8</f>
        <v>80.825</v>
      </c>
      <c r="AQ16" s="56"/>
      <c r="AR16" s="58" t="s">
        <v>80</v>
      </c>
      <c r="BF16" s="39"/>
      <c r="BJ16" s="39"/>
    </row>
    <row r="17" spans="30:44">
      <c r="AD17" s="51" t="s">
        <v>66</v>
      </c>
      <c r="AE17" s="51"/>
      <c r="AF17" s="51"/>
      <c r="AG17" s="51" t="s">
        <v>137</v>
      </c>
      <c r="AH17" s="51"/>
      <c r="AJ17" s="51" t="s">
        <v>141</v>
      </c>
      <c r="AL17" s="51"/>
      <c r="AM17" s="51"/>
      <c r="AN17" s="51"/>
      <c r="AO17" s="51"/>
      <c r="AP17" s="51" t="s">
        <v>100</v>
      </c>
      <c r="AQ17" s="51"/>
      <c r="AR17" s="51"/>
    </row>
    <row r="18" spans="1:1">
      <c r="A18" s="29" t="s">
        <v>452</v>
      </c>
    </row>
    <row r="20" spans="1:89">
      <c r="A20" t="s">
        <v>91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19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20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19"/>
      <c r="CI20" s="8"/>
      <c r="CJ20" s="8"/>
      <c r="CK20" s="8"/>
    </row>
    <row r="21" ht="7.5" customHeight="1" spans="30:30">
      <c r="AD21" s="38"/>
    </row>
    <row r="22" spans="2:89">
      <c r="B22" s="8"/>
      <c r="C22" s="8"/>
      <c r="D22" s="8"/>
      <c r="E22" s="8"/>
      <c r="F22" s="22"/>
      <c r="G22" s="5"/>
      <c r="H22" s="5"/>
      <c r="I22" s="5"/>
      <c r="J22" s="5"/>
      <c r="K22" s="5"/>
      <c r="L22" s="5"/>
      <c r="M22" s="23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35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22"/>
      <c r="BK22" s="5"/>
      <c r="BL22" s="5"/>
      <c r="BM22" s="5"/>
      <c r="BN22" s="5"/>
      <c r="BO22" s="5"/>
      <c r="BP22" s="5"/>
      <c r="BQ22" s="23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70">
      <c r="A23" t="s">
        <v>103</v>
      </c>
      <c r="F23" s="34"/>
      <c r="N23" s="38"/>
      <c r="AD23" s="34"/>
      <c r="BJ23" s="34"/>
      <c r="BR23" s="38"/>
    </row>
    <row r="24" spans="6:70">
      <c r="F24" s="34"/>
      <c r="N24" s="34"/>
      <c r="AD24" s="34"/>
      <c r="BJ24" s="34"/>
      <c r="BR24" s="34"/>
    </row>
    <row r="25" spans="6:70">
      <c r="F25" s="34"/>
      <c r="N25" s="34"/>
      <c r="AD25" s="34"/>
      <c r="BJ25" s="34"/>
      <c r="BR25" s="34"/>
    </row>
    <row r="26" spans="2:90">
      <c r="B26" s="19"/>
      <c r="F26" s="35"/>
      <c r="N26" s="35"/>
      <c r="P26" s="19"/>
      <c r="AD26" s="19"/>
      <c r="AH26" s="19"/>
      <c r="BF26" s="19"/>
      <c r="BJ26" s="35"/>
      <c r="BR26" s="35"/>
      <c r="BT26" s="19"/>
      <c r="CH26" s="19"/>
      <c r="CL26" s="42"/>
    </row>
    <row r="27" ht="117" spans="1:89">
      <c r="A27" s="30" t="s">
        <v>444</v>
      </c>
      <c r="B27" s="31" t="s">
        <v>445</v>
      </c>
      <c r="C27" s="32" t="s">
        <v>446</v>
      </c>
      <c r="D27" s="33"/>
      <c r="E27" s="31" t="s">
        <v>427</v>
      </c>
      <c r="F27" s="36"/>
      <c r="G27" s="37"/>
      <c r="H27" s="37"/>
      <c r="I27" s="37"/>
      <c r="J27" s="37"/>
      <c r="K27" s="37"/>
      <c r="L27" s="37"/>
      <c r="M27" s="40"/>
      <c r="N27" s="32" t="s">
        <v>428</v>
      </c>
      <c r="O27" s="33"/>
      <c r="P27" s="41" t="s">
        <v>445</v>
      </c>
      <c r="Q27" s="43" t="s">
        <v>446</v>
      </c>
      <c r="R27" s="44"/>
      <c r="S27" s="41" t="s">
        <v>427</v>
      </c>
      <c r="T27" s="11"/>
      <c r="U27" s="45"/>
      <c r="V27" s="45"/>
      <c r="W27" s="45"/>
      <c r="X27" s="45"/>
      <c r="Y27" s="45"/>
      <c r="Z27" s="45"/>
      <c r="AA27" s="46"/>
      <c r="AB27" s="43" t="s">
        <v>428</v>
      </c>
      <c r="AC27" s="44"/>
      <c r="AD27" s="47" t="s">
        <v>445</v>
      </c>
      <c r="AE27" s="48"/>
      <c r="AF27" s="49"/>
      <c r="AG27" s="47" t="s">
        <v>427</v>
      </c>
      <c r="AH27" s="41" t="s">
        <v>445</v>
      </c>
      <c r="AI27" s="43" t="s">
        <v>446</v>
      </c>
      <c r="AJ27" s="44"/>
      <c r="AK27" s="41" t="s">
        <v>427</v>
      </c>
      <c r="AL27" s="11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6"/>
      <c r="BD27" s="43" t="s">
        <v>428</v>
      </c>
      <c r="BE27" s="44"/>
      <c r="BF27" s="31" t="s">
        <v>445</v>
      </c>
      <c r="BG27" s="32" t="s">
        <v>446</v>
      </c>
      <c r="BH27" s="33"/>
      <c r="BI27" s="31" t="s">
        <v>427</v>
      </c>
      <c r="BJ27" s="36"/>
      <c r="BK27" s="37"/>
      <c r="BL27" s="37"/>
      <c r="BM27" s="37"/>
      <c r="BN27" s="37"/>
      <c r="BO27" s="37"/>
      <c r="BP27" s="37"/>
      <c r="BQ27" s="40"/>
      <c r="BR27" s="32" t="s">
        <v>428</v>
      </c>
      <c r="BS27" s="33"/>
      <c r="BT27" s="41" t="s">
        <v>445</v>
      </c>
      <c r="BU27" s="43" t="s">
        <v>446</v>
      </c>
      <c r="BV27" s="44"/>
      <c r="BW27" s="41" t="s">
        <v>427</v>
      </c>
      <c r="BX27" s="11"/>
      <c r="BY27" s="45"/>
      <c r="BZ27" s="45"/>
      <c r="CA27" s="45"/>
      <c r="CB27" s="45"/>
      <c r="CC27" s="45"/>
      <c r="CD27" s="45"/>
      <c r="CE27" s="46"/>
      <c r="CF27" s="43" t="s">
        <v>428</v>
      </c>
      <c r="CG27" s="44"/>
      <c r="CH27" s="47" t="s">
        <v>445</v>
      </c>
      <c r="CI27" s="48"/>
      <c r="CJ27" s="49"/>
      <c r="CK27" s="47" t="s">
        <v>427</v>
      </c>
    </row>
    <row r="28" spans="14:70">
      <c r="N28" s="22"/>
      <c r="P28" s="22"/>
      <c r="T28" s="22"/>
      <c r="AB28" s="22"/>
      <c r="AD28" s="22"/>
      <c r="AH28" s="22"/>
      <c r="AL28" s="22"/>
      <c r="AP28" s="51" t="s">
        <v>137</v>
      </c>
      <c r="AU28" s="51" t="s">
        <v>100</v>
      </c>
      <c r="BD28" s="22"/>
      <c r="BF28" s="22"/>
      <c r="BJ28" s="22"/>
      <c r="BR28" s="39"/>
    </row>
    <row r="29" spans="14:70">
      <c r="N29" s="42"/>
      <c r="AD29" s="42"/>
      <c r="AP29" s="50">
        <f>'Timing Parameters_SYNC_EVENT'!AF17</f>
        <v>240</v>
      </c>
      <c r="AQ29" s="53"/>
      <c r="AR29" s="54" t="s">
        <v>447</v>
      </c>
      <c r="AS29" s="54">
        <v>1</v>
      </c>
      <c r="AT29" s="54" t="s">
        <v>448</v>
      </c>
      <c r="AU29" s="55">
        <f>'Timing Parameters_SYNC_EVENT'!CJ8</f>
        <v>80.825</v>
      </c>
      <c r="AV29" s="56"/>
      <c r="AW29" t="s">
        <v>80</v>
      </c>
      <c r="BF29" s="42"/>
      <c r="BJ29" s="42"/>
      <c r="BR29" s="39"/>
    </row>
    <row r="30" spans="14:62">
      <c r="N30" s="42"/>
      <c r="AD30" s="42"/>
      <c r="BF30" s="42"/>
      <c r="BJ30" s="42"/>
    </row>
    <row r="31" spans="14:62">
      <c r="N31" s="42"/>
      <c r="BJ31" s="42"/>
    </row>
    <row r="32" spans="32:44">
      <c r="AF32" s="52" t="s">
        <v>449</v>
      </c>
      <c r="AG32" s="50">
        <f>'Timing Parameters_SYNC_EVENT'!AF17</f>
        <v>240</v>
      </c>
      <c r="AH32" s="53"/>
      <c r="AI32" s="54" t="s">
        <v>450</v>
      </c>
      <c r="AJ32" s="55">
        <f>'Timing Parameters_SYNC_EVENT'!BO17</f>
        <v>10969.756097561</v>
      </c>
      <c r="AK32" s="56"/>
      <c r="AL32" t="s">
        <v>451</v>
      </c>
      <c r="AM32" s="57" t="s">
        <v>447</v>
      </c>
      <c r="AN32" s="57">
        <v>1</v>
      </c>
      <c r="AO32" s="57" t="s">
        <v>448</v>
      </c>
      <c r="AP32" s="55">
        <f>'Timing Parameters_SYNC_EVENT'!CJ8</f>
        <v>80.825</v>
      </c>
      <c r="AQ32" s="56"/>
      <c r="AR32" s="58" t="s">
        <v>80</v>
      </c>
    </row>
    <row r="33" spans="33:45">
      <c r="AG33" s="51" t="s">
        <v>137</v>
      </c>
      <c r="AH33" s="51"/>
      <c r="AI33" s="51"/>
      <c r="AJ33" s="51" t="s">
        <v>141</v>
      </c>
      <c r="AK33" s="51"/>
      <c r="AL33" s="51"/>
      <c r="AM33" s="51"/>
      <c r="AN33" s="51"/>
      <c r="AO33" s="51"/>
      <c r="AP33" s="51" t="s">
        <v>100</v>
      </c>
      <c r="AQ33" s="51"/>
      <c r="AR33" s="51"/>
      <c r="AS33" s="51"/>
    </row>
  </sheetData>
  <sheetProtection password="EE8F" sheet="1" selectLockedCells="1" objects="1" scenarios="1"/>
  <mergeCells count="35">
    <mergeCell ref="C10:D10"/>
    <mergeCell ref="N10:O10"/>
    <mergeCell ref="Q10:R10"/>
    <mergeCell ref="AB10:AC10"/>
    <mergeCell ref="AI10:AJ10"/>
    <mergeCell ref="AN10:AO10"/>
    <mergeCell ref="AU10:AV10"/>
    <mergeCell ref="BD10:BE10"/>
    <mergeCell ref="BG10:BH10"/>
    <mergeCell ref="BR10:BS10"/>
    <mergeCell ref="BU10:BV10"/>
    <mergeCell ref="CF10:CG10"/>
    <mergeCell ref="AF13:AG13"/>
    <mergeCell ref="AK13:AL13"/>
    <mergeCell ref="AT13:AU13"/>
    <mergeCell ref="AY13:AZ13"/>
    <mergeCell ref="AD16:AE16"/>
    <mergeCell ref="AG16:AH16"/>
    <mergeCell ref="AJ16:AK16"/>
    <mergeCell ref="AP16:AQ16"/>
    <mergeCell ref="C27:D27"/>
    <mergeCell ref="N27:O27"/>
    <mergeCell ref="Q27:R27"/>
    <mergeCell ref="AB27:AC27"/>
    <mergeCell ref="AI27:AJ27"/>
    <mergeCell ref="BD27:BE27"/>
    <mergeCell ref="BG27:BH27"/>
    <mergeCell ref="BR27:BS27"/>
    <mergeCell ref="BU27:BV27"/>
    <mergeCell ref="CF27:CG27"/>
    <mergeCell ref="AP29:AQ29"/>
    <mergeCell ref="AU29:AV29"/>
    <mergeCell ref="AG32:AH32"/>
    <mergeCell ref="AJ32:AK32"/>
    <mergeCell ref="AP32:AQ32"/>
  </mergeCells>
  <pageMargins left="0.75" right="0.75" top="1" bottom="1" header="0.512" footer="0.51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（株）東芝セミコンダクター社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Revision</vt:lpstr>
      <vt:lpstr>How to use</vt:lpstr>
      <vt:lpstr>Timing Parameters_SYNC_PULSE</vt:lpstr>
      <vt:lpstr>Timing Parameters_SYNC_EVENT</vt:lpstr>
      <vt:lpstr>Source</vt:lpstr>
      <vt:lpstr>Code</vt:lpstr>
      <vt:lpstr>Host Access</vt:lpstr>
      <vt:lpstr>Restriction</vt:lpstr>
      <vt:lpstr>H-PCLK</vt:lpstr>
      <vt:lpstr>Tool(LVMX-&gt;BitMapping)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s.hayashi</dc:creator>
  <cp:lastModifiedBy>zhenlin</cp:lastModifiedBy>
  <dcterms:created xsi:type="dcterms:W3CDTF">2010-09-25T05:02:13Z</dcterms:created>
  <dcterms:modified xsi:type="dcterms:W3CDTF">2023-07-19T09:15:02Z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2052-11.1.0.11698</vt:lpwstr>
  </property>
  <property fmtid="{D5CDD505-2E9C-101B-9397-08002B2CF9AE}" pid="3" name="ICV">
    <vt:lpwstr/>
  </property>
</Properties>
</file>