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up_Tax_Rules" sheetId="1" r:id="rId5"/>
    <sheet state="visible" name="Cairo" sheetId="2" r:id="rId6"/>
    <sheet state="visible" name="Luxor" sheetId="3" r:id="rId7"/>
    <sheet state="visible" name="Alexandria" sheetId="4" r:id="rId8"/>
    <sheet state="visible" name="Nile" sheetId="5" r:id="rId9"/>
    <sheet state="visible" name="Amboseli National Park" sheetId="6" r:id="rId10"/>
    <sheet state="visible" name="Lake Naivasha" sheetId="7" r:id="rId11"/>
    <sheet state="visible" name="Masaimara" sheetId="8" r:id="rId12"/>
    <sheet state="visible" name="Nairobi" sheetId="9" r:id="rId13"/>
    <sheet state="visible" name="Cape Town" sheetId="10" r:id="rId14"/>
    <sheet state="visible" name="Johannesburg" sheetId="11" r:id="rId15"/>
    <sheet state="visible" name="Mahe Island" sheetId="12" r:id="rId16"/>
    <sheet state="visible" name="Port Louis" sheetId="13" r:id="rId17"/>
    <sheet state="visible" name="Ile aux Cerfs" sheetId="14" r:id="rId18"/>
    <sheet state="visible" name="Dubai" sheetId="15" r:id="rId19"/>
    <sheet state="visible" name="Abu Dhabi" sheetId="16" r:id="rId20"/>
    <sheet state="visible" name="Muscat" sheetId="17" r:id="rId21"/>
    <sheet state="visible" name="Amman" sheetId="18" r:id="rId22"/>
    <sheet state="visible" name="Petra" sheetId="19" r:id="rId23"/>
    <sheet state="visible" name="Batumi" sheetId="20" r:id="rId24"/>
    <sheet state="visible" name="Tbilisi" sheetId="21" r:id="rId25"/>
    <sheet state="visible" name="Gudauri" sheetId="22" r:id="rId26"/>
    <sheet state="visible" name="Uplistsike" sheetId="23" r:id="rId27"/>
    <sheet state="visible" name="Gori" sheetId="24" r:id="rId28"/>
    <sheet state="visible" name="Shamakhi" sheetId="25" r:id="rId29"/>
    <sheet state="visible" name="Baku" sheetId="26" r:id="rId30"/>
    <sheet state="visible" name="Gabala" sheetId="27" r:id="rId31"/>
    <sheet state="visible" name="Smarkand" sheetId="28" r:id="rId32"/>
    <sheet state="visible" name="Tashkent" sheetId="29" r:id="rId33"/>
    <sheet state="visible" name="Almaty" sheetId="30" r:id="rId34"/>
    <sheet state="visible" name="Kok Tobe" sheetId="31" r:id="rId35"/>
    <sheet state="visible" name="Bishkek" sheetId="32" r:id="rId36"/>
    <sheet state="visible" name="Kolkata" sheetId="33" r:id="rId37"/>
    <sheet state="visible" name="Ranikhet" sheetId="34" r:id="rId38"/>
    <sheet state="visible" name="Alleppey" sheetId="35" r:id="rId39"/>
    <sheet state="visible" name="Ranthambore" sheetId="36" r:id="rId40"/>
    <sheet state="visible" name="Jammu Katra" sheetId="37" r:id="rId41"/>
    <sheet state="visible" name="Leh" sheetId="38" r:id="rId42"/>
    <sheet state="visible" name="Omkareshwar" sheetId="39" r:id="rId43"/>
    <sheet state="visible" name="Guwahati" sheetId="40" r:id="rId44"/>
    <sheet state="visible" name="Sundarbans" sheetId="41" r:id="rId45"/>
    <sheet state="visible" name="Thiruvanantapuram" sheetId="42" r:id="rId46"/>
    <sheet state="visible" name="Amarnath" sheetId="43" r:id="rId47"/>
    <sheet state="visible" name="Bengaluru" sheetId="44" r:id="rId48"/>
    <sheet state="visible" name="Agra" sheetId="45" r:id="rId49"/>
    <sheet state="visible" name="Shimla" sheetId="46" r:id="rId50"/>
    <sheet state="visible" name="Madurai" sheetId="47" r:id="rId51"/>
    <sheet state="visible" name="Haridwar" sheetId="48" r:id="rId52"/>
    <sheet state="visible" name="Ooty" sheetId="49" r:id="rId53"/>
    <sheet state="visible" name="Bhitarkanika" sheetId="50" r:id="rId54"/>
    <sheet state="visible" name="Hanle" sheetId="51" r:id="rId55"/>
    <sheet state="visible" name="Chandigarh" sheetId="52" r:id="rId56"/>
    <sheet state="visible" name="Bolpur" sheetId="53" r:id="rId57"/>
    <sheet state="visible" name="Alipurduar" sheetId="54" r:id="rId58"/>
    <sheet state="visible" name="Gangtok" sheetId="55" r:id="rId59"/>
    <sheet state="visible" name="Sarahan" sheetId="56" r:id="rId60"/>
    <sheet state="visible" name="Jabalpur" sheetId="57" r:id="rId61"/>
    <sheet state="visible" name="Jodhpur" sheetId="58" r:id="rId62"/>
    <sheet state="visible" name="Jaisalmer" sheetId="59" r:id="rId63"/>
    <sheet state="visible" name="Chikkaballapur" sheetId="60" r:id="rId64"/>
    <sheet state="visible" name="Pachmarhi" sheetId="61" r:id="rId65"/>
    <sheet state="visible" name="Vishakhapatnam" sheetId="62" r:id="rId66"/>
    <sheet state="visible" name="Dharmshala" sheetId="63" r:id="rId67"/>
    <sheet state="visible" name="Hyderabad" sheetId="64" r:id="rId68"/>
    <sheet state="visible" name="Narkanda" sheetId="65" r:id="rId69"/>
    <sheet state="visible" name="Thekkady" sheetId="66" r:id="rId70"/>
    <sheet state="visible" name="Manali" sheetId="67" r:id="rId71"/>
    <sheet state="visible" name="Tawang" sheetId="68" r:id="rId72"/>
    <sheet state="visible" name="Adi Kailash" sheetId="69" r:id="rId73"/>
    <sheet state="visible" name="Tabo" sheetId="70" r:id="rId74"/>
    <sheet state="visible" name="Kausani" sheetId="71" r:id="rId75"/>
    <sheet state="visible" name="Bhalukpong" sheetId="72" r:id="rId76"/>
    <sheet state="visible" name="Nabadwip" sheetId="73" r:id="rId77"/>
    <sheet state="visible" name="Kochi" sheetId="74" r:id="rId78"/>
    <sheet state="visible" name="Yusmarg" sheetId="75" r:id="rId79"/>
    <sheet state="visible" name="Kodaikanal" sheetId="76" r:id="rId80"/>
    <sheet state="visible" name="Kinnaur &amp; Kalpa" sheetId="77" r:id="rId81"/>
    <sheet state="visible" name="Puri" sheetId="78" r:id="rId82"/>
    <sheet state="visible" name="McLeod Ganj" sheetId="79" r:id="rId83"/>
    <sheet state="visible" name="Mysuru" sheetId="80" r:id="rId84"/>
    <sheet state="visible" name="Lachen &amp; Lachung" sheetId="81" r:id="rId85"/>
    <sheet state="visible" name="Srinagar" sheetId="82" r:id="rId86"/>
    <sheet state="visible" name="Coorg" sheetId="83" r:id="rId87"/>
    <sheet state="visible" name="Ahmedabad" sheetId="84" r:id="rId88"/>
    <sheet state="visible" name="Nainital" sheetId="85" r:id="rId89"/>
    <sheet state="visible" name="Rameshwaram" sheetId="86" r:id="rId90"/>
    <sheet state="visible" name="Purulia" sheetId="87" r:id="rId91"/>
    <sheet state="visible" name="Ayodhya" sheetId="88" r:id="rId92"/>
    <sheet state="visible" name="Corbett" sheetId="89" r:id="rId93"/>
    <sheet state="visible" name="Darjeeling" sheetId="90" r:id="rId94"/>
    <sheet state="visible" name="Kargil" sheetId="91" r:id="rId95"/>
    <sheet state="visible" name="Pahalgam" sheetId="92" r:id="rId96"/>
    <sheet state="visible" name="Jispa" sheetId="93" r:id="rId97"/>
    <sheet state="visible" name="Raipur" sheetId="94" r:id="rId98"/>
    <sheet state="visible" name="Mumbai" sheetId="95" r:id="rId99"/>
    <sheet state="visible" name="Munnar" sheetId="96" r:id="rId100"/>
    <sheet state="visible" name="Amritsar" sheetId="97" r:id="rId101"/>
    <sheet state="visible" name="Jaipur" sheetId="98" r:id="rId102"/>
    <sheet state="visible" name="Kasol" sheetId="99" r:id="rId103"/>
    <sheet state="visible" name="Daringbadi" sheetId="100" r:id="rId104"/>
    <sheet state="visible" name="Bandhavgarh &amp; Kanha" sheetId="101" r:id="rId105"/>
    <sheet state="visible" name="Pelling" sheetId="102" r:id="rId106"/>
    <sheet state="visible" name="Chandratal" sheetId="103" r:id="rId107"/>
    <sheet state="visible" name="Varanasi" sheetId="104" r:id="rId108"/>
    <sheet state="visible" name="Lucknow" sheetId="105" r:id="rId109"/>
    <sheet state="visible" name="Kanyakumari" sheetId="106" r:id="rId110"/>
    <sheet state="visible" name="Murshidabad" sheetId="107" r:id="rId111"/>
    <sheet state="visible" name="Namchi" sheetId="108" r:id="rId112"/>
    <sheet state="visible" name="Sangla" sheetId="109" r:id="rId113"/>
    <sheet state="visible" name="Kaza" sheetId="110" r:id="rId114"/>
    <sheet state="visible" name="Kandy" sheetId="111" r:id="rId115"/>
    <sheet state="visible" name="Dambulla" sheetId="112" r:id="rId116"/>
    <sheet state="visible" name="Colombo" sheetId="113" r:id="rId117"/>
    <sheet state="visible" name="Kataragama" sheetId="114" r:id="rId118"/>
    <sheet state="visible" name="Waskaduwa" sheetId="115" r:id="rId119"/>
    <sheet state="visible" name="Mirissa" sheetId="116" r:id="rId120"/>
    <sheet state="visible" name="Nauwaraeliya" sheetId="117" r:id="rId121"/>
    <sheet state="visible" name="Kathmandu" sheetId="118" r:id="rId122"/>
    <sheet state="visible" name="Birgunj" sheetId="119" r:id="rId123"/>
    <sheet state="visible" name="Pokhara" sheetId="120" r:id="rId124"/>
    <sheet state="visible" name="Chitwan" sheetId="121" r:id="rId125"/>
    <sheet state="visible" name="Paro" sheetId="122" r:id="rId126"/>
    <sheet state="visible" name="Thimphu" sheetId="123" r:id="rId127"/>
    <sheet state="visible" name="Phunotsoling" sheetId="124" r:id="rId128"/>
    <sheet state="visible" name="Punakha" sheetId="125" r:id="rId129"/>
    <sheet state="visible" name="Male" sheetId="126" r:id="rId130"/>
    <sheet state="visible" name="Maafushi" sheetId="127" r:id="rId131"/>
    <sheet state="visible" name="Wuhan" sheetId="128" r:id="rId132"/>
    <sheet state="visible" name="Sanghai" sheetId="129" r:id="rId133"/>
    <sheet state="visible" name="Beijing" sheetId="130" r:id="rId134"/>
    <sheet state="visible" name="Macau" sheetId="131" r:id="rId135"/>
    <sheet state="visible" name="Hong Kong-Disneyland" sheetId="132" r:id="rId136"/>
    <sheet state="visible" name="Kailash Mansarovar" sheetId="133" r:id="rId137"/>
    <sheet state="visible" name="Osaka" sheetId="134" r:id="rId138"/>
    <sheet state="visible" name="Hiroshima &amp; Nagasaki" sheetId="135" r:id="rId139"/>
    <sheet state="visible" name="Kyoto" sheetId="136" r:id="rId140"/>
    <sheet state="visible" name="Nara &amp; Nagoya" sheetId="137" r:id="rId141"/>
    <sheet state="visible" name="Tokyo" sheetId="138" r:id="rId142"/>
    <sheet state="visible" name="Mt Fuji" sheetId="139" r:id="rId143"/>
    <sheet state="visible" name="Busan" sheetId="140" r:id="rId144"/>
    <sheet state="visible" name="Seol" sheetId="141" r:id="rId145"/>
    <sheet state="visible" name="Yogyakarta" sheetId="142" r:id="rId146"/>
    <sheet state="visible" name="Bali" sheetId="143" r:id="rId147"/>
    <sheet state="visible" name="Java" sheetId="144" r:id="rId148"/>
    <sheet state="visible" name="Sumatra" sheetId="145" r:id="rId149"/>
    <sheet state="visible" name="Phuket" sheetId="146" r:id="rId150"/>
    <sheet state="visible" name="Bangkok" sheetId="147" r:id="rId151"/>
    <sheet state="visible" name="Pattaya" sheetId="148" r:id="rId152"/>
    <sheet state="visible" name="Krabi" sheetId="149" r:id="rId153"/>
    <sheet state="visible" name="Phu Quoc" sheetId="150" r:id="rId154"/>
    <sheet state="visible" name="Nathrang" sheetId="151" r:id="rId155"/>
    <sheet state="visible" name="Ha Long Bay" sheetId="152" r:id="rId156"/>
    <sheet state="visible" name="Hochiminh" sheetId="153" r:id="rId157"/>
    <sheet state="visible" name="Sapa" sheetId="154" r:id="rId158"/>
    <sheet state="visible" name="Bau Trang" sheetId="155" r:id="rId159"/>
    <sheet state="visible" name="Mekong Delta" sheetId="156" r:id="rId160"/>
    <sheet state="visible" name="Danang" sheetId="157" r:id="rId161"/>
    <sheet state="visible" name="Hanoi" sheetId="158" r:id="rId162"/>
    <sheet state="visible" name="Batu Caves" sheetId="159" r:id="rId163"/>
    <sheet state="visible" name="Penang" sheetId="160" r:id="rId164"/>
    <sheet state="visible" name="Langkawi." sheetId="161" r:id="rId165"/>
    <sheet state="visible" name="Cameron Highlands" sheetId="162" r:id="rId166"/>
    <sheet state="visible" name="Kuala Lumpur" sheetId="163" r:id="rId167"/>
    <sheet state="visible" name="El Nido" sheetId="164" r:id="rId168"/>
    <sheet state="visible" name="Bohol" sheetId="165" r:id="rId169"/>
    <sheet state="visible" name="Cebu" sheetId="166" r:id="rId170"/>
    <sheet state="visible" name="Manila" sheetId="167" r:id="rId171"/>
    <sheet state="visible" name="Boracay" sheetId="168" r:id="rId172"/>
    <sheet state="visible" name="Phnom Penh" sheetId="169" r:id="rId173"/>
    <sheet state="visible" name="Angkor Wat" sheetId="170" r:id="rId174"/>
    <sheet state="visible" name="Singapore" sheetId="171" r:id="rId175"/>
    <sheet state="visible" name="London" sheetId="172" r:id="rId176"/>
    <sheet state="visible" name="Manchester" sheetId="173" r:id="rId177"/>
    <sheet state="visible" name="Liverpool" sheetId="174" r:id="rId178"/>
    <sheet state="visible" name="Edinburg" sheetId="175" r:id="rId179"/>
    <sheet state="visible" name="Dublin" sheetId="176" r:id="rId180"/>
    <sheet state="visible" name="France" sheetId="177" r:id="rId181"/>
    <sheet state="visible" name="Venice" sheetId="178" r:id="rId182"/>
    <sheet state="visible" name="Rome" sheetId="179" r:id="rId183"/>
    <sheet state="visible" name="Spain" sheetId="180" r:id="rId184"/>
    <sheet state="visible" name="Portugal" sheetId="181" r:id="rId185"/>
    <sheet state="visible" name="Germany" sheetId="182" r:id="rId186"/>
    <sheet state="visible" name="Netherlands" sheetId="183" r:id="rId187"/>
    <sheet state="visible" name="Belgium" sheetId="184" r:id="rId188"/>
    <sheet state="visible" name="Switzerland" sheetId="185" r:id="rId189"/>
    <sheet state="visible" name="Austria" sheetId="186" r:id="rId190"/>
    <sheet state="visible" name="Luxembourg" sheetId="187" r:id="rId191"/>
    <sheet state="visible" name="Linchestine" sheetId="188" r:id="rId192"/>
    <sheet state="visible" name="Czech" sheetId="189" r:id="rId193"/>
    <sheet state="visible" name="Poland" sheetId="190" r:id="rId194"/>
    <sheet state="visible" name="Hungery" sheetId="191" r:id="rId195"/>
    <sheet state="visible" name="Romania" sheetId="192" r:id="rId196"/>
    <sheet state="visible" name="Sweden" sheetId="193" r:id="rId197"/>
    <sheet state="visible" name="Norway" sheetId="194" r:id="rId198"/>
    <sheet state="visible" name="Finland" sheetId="195" r:id="rId199"/>
    <sheet state="visible" name="Denmark" sheetId="196" r:id="rId200"/>
    <sheet state="visible" name="Iceland" sheetId="197" r:id="rId201"/>
    <sheet state="visible" name="St Petersburg" sheetId="198" r:id="rId202"/>
    <sheet state="visible" name="Moscow" sheetId="199" r:id="rId203"/>
    <sheet state="visible" name="Teriberka" sheetId="200" r:id="rId204"/>
    <sheet state="visible" name="Murmansk" sheetId="201" r:id="rId205"/>
    <sheet state="visible" name="Cappadocia" sheetId="202" r:id="rId206"/>
    <sheet state="visible" name="Istanbul" sheetId="203" r:id="rId207"/>
    <sheet state="visible" name="Santorini" sheetId="204" r:id="rId208"/>
    <sheet state="visible" name="Athens" sheetId="205" r:id="rId209"/>
    <sheet state="visible" name="Melbourne" sheetId="206" r:id="rId210"/>
    <sheet state="visible" name="Sydney" sheetId="207" r:id="rId211"/>
    <sheet state="visible" name="Auckland" sheetId="208" r:id="rId212"/>
    <sheet state="visible" name="Queenstown" sheetId="209" r:id="rId213"/>
    <sheet state="visible" name="Suva" sheetId="210" r:id="rId214"/>
    <sheet state="visible" name="Tahiti" sheetId="211" r:id="rId215"/>
    <sheet state="visible" name="South Islands" sheetId="212" r:id="rId216"/>
    <sheet state="visible" name="Borneo Island" sheetId="213" r:id="rId217"/>
    <sheet state="visible" name="Hurling" sheetId="214" r:id="rId218"/>
    <sheet state="visible" name="Pricing_Engine_Inputs" sheetId="215" r:id="rId219"/>
    <sheet state="visible" name="Quotation_Calculation" sheetId="216" r:id="rId220"/>
    <sheet state="visible" name="INDEX1" sheetId="217" r:id="rId221"/>
  </sheets>
  <definedNames>
    <definedName hidden="1" localSheetId="0" name="_xlnm._FilterDatabase">Markup_Tax_Rules!$A$1:$E$11</definedName>
    <definedName hidden="1" localSheetId="1" name="_xlnm._FilterDatabase">Cairo!$A$9:$H$37</definedName>
    <definedName hidden="1" localSheetId="2" name="_xlnm._FilterDatabase">Luxor!$A$9:$H$38</definedName>
    <definedName hidden="1" localSheetId="3" name="_xlnm._FilterDatabase">Alexandria!$A$9:$G$38</definedName>
    <definedName hidden="1" localSheetId="4" name="_xlnm._FilterDatabase">Nile!$A$9:$I$40</definedName>
    <definedName hidden="1" localSheetId="5" name="_xlnm._FilterDatabase">'Amboseli National Park'!$A$9:$I$33</definedName>
    <definedName hidden="1" localSheetId="6" name="_xlnm._FilterDatabase">'Lake Naivasha'!$A$9:$I$34</definedName>
    <definedName hidden="1" localSheetId="7" name="_xlnm._FilterDatabase">Masaimara!$A$9:$I$35</definedName>
    <definedName hidden="1" localSheetId="8" name="_xlnm._FilterDatabase">Nairobi!$A$9:$I$35</definedName>
    <definedName hidden="1" localSheetId="9" name="_xlnm._FilterDatabase">'Cape Town'!$A$9:$I$32</definedName>
    <definedName hidden="1" localSheetId="10" name="_xlnm._FilterDatabase">Johannesburg!$A$9:$I$32</definedName>
    <definedName hidden="1" localSheetId="11" name="_xlnm._FilterDatabase">'Mahe Island'!$A$9:$I$41</definedName>
    <definedName hidden="1" localSheetId="12" name="_xlnm._FilterDatabase">'Port Louis'!$A$9:$I$34</definedName>
    <definedName hidden="1" localSheetId="13" name="_xlnm._FilterDatabase">'Ile aux Cerfs'!$A$9:$I$36</definedName>
    <definedName hidden="1" localSheetId="14" name="_xlnm._FilterDatabase">Dubai!$A$9:$I$33</definedName>
    <definedName hidden="1" localSheetId="15" name="_xlnm._FilterDatabase">'Abu Dhabi'!$A$9:$I$33</definedName>
    <definedName hidden="1" localSheetId="16" name="_xlnm._FilterDatabase">Muscat!$A$9:$I$40</definedName>
    <definedName hidden="1" localSheetId="17" name="_xlnm._FilterDatabase">Amman!$A$9:$I$41</definedName>
    <definedName hidden="1" localSheetId="18" name="_xlnm._FilterDatabase">Petra!$A$9:$I$42</definedName>
    <definedName hidden="1" localSheetId="19" name="_xlnm._FilterDatabase">Batumi!$A$9:$I$42</definedName>
    <definedName hidden="1" localSheetId="20" name="_xlnm._FilterDatabase">Tbilisi!$A$9:$I$40</definedName>
    <definedName hidden="1" localSheetId="21" name="_xlnm._FilterDatabase">Gudauri!$A$9:$I$44</definedName>
    <definedName hidden="1" localSheetId="22" name="_xlnm._FilterDatabase">Uplistsike!$A$9:$I$45</definedName>
    <definedName hidden="1" localSheetId="23" name="_xlnm._FilterDatabase">Gori!$A$9:$I$40</definedName>
    <definedName hidden="1" localSheetId="24" name="_xlnm._FilterDatabase">Shamakhi!$A$9:$I$48</definedName>
    <definedName hidden="1" localSheetId="25" name="_xlnm._FilterDatabase">Baku!$A$9:$I$48</definedName>
    <definedName hidden="1" localSheetId="26" name="_xlnm._FilterDatabase">Gabala!$A$9:$I$40</definedName>
    <definedName hidden="1" localSheetId="27" name="_xlnm._FilterDatabase">Smarkand!$A$9:$I$40</definedName>
    <definedName hidden="1" localSheetId="28" name="_xlnm._FilterDatabase">Tashkent!$A$9:$I$42</definedName>
    <definedName hidden="1" localSheetId="29" name="_xlnm._FilterDatabase">Almaty!$A$9:$I$40</definedName>
    <definedName hidden="1" localSheetId="30" name="_xlnm._FilterDatabase">'Kok Tobe'!$A$9:$I$38</definedName>
    <definedName hidden="1" localSheetId="31" name="_xlnm._FilterDatabase">Bishkek!$A$9:$I$44</definedName>
    <definedName hidden="1" localSheetId="32" name="_xlnm._FilterDatabase">Kolkata!$A$9:$I$34</definedName>
    <definedName hidden="1" localSheetId="33" name="_xlnm._FilterDatabase">Ranikhet!$A$9:$I$39</definedName>
    <definedName hidden="1" localSheetId="34" name="_xlnm._FilterDatabase">Alleppey!$A$9:$I$38</definedName>
    <definedName hidden="1" localSheetId="35" name="_xlnm._FilterDatabase">Ranthambore!$A$9:$I$40</definedName>
    <definedName hidden="1" localSheetId="36" name="_xlnm._FilterDatabase">'Jammu Katra'!$A$9:$I$33</definedName>
    <definedName hidden="1" localSheetId="37" name="_xlnm._FilterDatabase">Leh!$A$9:$I$32</definedName>
    <definedName hidden="1" localSheetId="38" name="_xlnm._FilterDatabase">Omkareshwar!$A$9:$I$42</definedName>
    <definedName hidden="1" localSheetId="39" name="_xlnm._FilterDatabase">Guwahati!$A$9:$I$40</definedName>
    <definedName hidden="1" localSheetId="40" name="_xlnm._FilterDatabase">Sundarbans!$A$9:$I$34</definedName>
    <definedName hidden="1" localSheetId="41" name="_xlnm._FilterDatabase">Thiruvanantapuram!$A$9:$I$41</definedName>
    <definedName hidden="1" localSheetId="42" name="_xlnm._FilterDatabase">Amarnath!$A$9:$I$34</definedName>
    <definedName hidden="1" localSheetId="43" name="_xlnm._FilterDatabase">Bengaluru!$A$9:$I$36</definedName>
    <definedName hidden="1" localSheetId="44" name="_xlnm._FilterDatabase">Agra!$A$9:$I$40</definedName>
    <definedName hidden="1" localSheetId="45" name="_xlnm._FilterDatabase">Shimla!$A$9:$I$39</definedName>
    <definedName hidden="1" localSheetId="46" name="_xlnm._FilterDatabase">Madurai!$A$9:$I$40</definedName>
    <definedName hidden="1" localSheetId="47" name="_xlnm._FilterDatabase">Haridwar!$A$9:$I$33</definedName>
    <definedName hidden="1" localSheetId="48" name="_xlnm._FilterDatabase">Ooty!$A$9:$I$40</definedName>
    <definedName hidden="1" localSheetId="49" name="_xlnm._FilterDatabase">Bhitarkanika!$A$9:$I$41</definedName>
    <definedName hidden="1" localSheetId="50" name="_xlnm._FilterDatabase">Hanle!$A$9:$I$40</definedName>
    <definedName hidden="1" localSheetId="51" name="_xlnm._FilterDatabase">Chandigarh!$A$9:$I$40</definedName>
    <definedName hidden="1" localSheetId="52" name="_xlnm._FilterDatabase">Bolpur!$A$9:$I$34</definedName>
    <definedName hidden="1" localSheetId="53" name="_xlnm._FilterDatabase">Alipurduar!$A$9:$I$34</definedName>
    <definedName hidden="1" localSheetId="54" name="_xlnm._FilterDatabase">Gangtok!$A$9:$I$34</definedName>
    <definedName hidden="1" localSheetId="55" name="_xlnm._FilterDatabase">Sarahan!$A$9:$I$33</definedName>
    <definedName hidden="1" localSheetId="56" name="_xlnm._FilterDatabase">Jabalpur!$A$9:$I$42</definedName>
    <definedName hidden="1" localSheetId="57" name="_xlnm._FilterDatabase">Jodhpur!$A$9:$I$40</definedName>
    <definedName hidden="1" localSheetId="58" name="_xlnm._FilterDatabase">Jaisalmer!$A$9:$I$40</definedName>
    <definedName hidden="1" localSheetId="59" name="_xlnm._FilterDatabase">Chikkaballapur!$A$9:$I$38</definedName>
    <definedName hidden="1" localSheetId="60" name="_xlnm._FilterDatabase">Pachmarhi!$A$9:$I$42</definedName>
    <definedName hidden="1" localSheetId="61" name="_xlnm._FilterDatabase">Vishakhapatnam!$A$9:$I$37</definedName>
    <definedName hidden="1" localSheetId="62" name="_xlnm._FilterDatabase">Dharmshala!$A$9:$I$37</definedName>
    <definedName hidden="1" localSheetId="63" name="_xlnm._FilterDatabase">Hyderabad!$A$9:$I$36</definedName>
    <definedName hidden="1" localSheetId="64" name="_xlnm._FilterDatabase">Narkanda!$A$9:$I$33</definedName>
    <definedName hidden="1" localSheetId="65" name="_xlnm._FilterDatabase">Thekkady!$A$9:$I$38</definedName>
    <definedName hidden="1" localSheetId="66" name="_xlnm._FilterDatabase">Manali!$A$9:$I$36</definedName>
    <definedName hidden="1" localSheetId="67" name="_xlnm._FilterDatabase">Tawang!$A$9:$I$40</definedName>
    <definedName hidden="1" localSheetId="68" name="_xlnm._FilterDatabase">'Adi Kailash'!$A$9:$I$32</definedName>
    <definedName hidden="1" localSheetId="69" name="_xlnm._FilterDatabase">Tabo!$A$9:$I$33</definedName>
    <definedName hidden="1" localSheetId="70" name="_xlnm._FilterDatabase">Kausani!$A$9:$I$40</definedName>
    <definedName hidden="1" localSheetId="71" name="_xlnm._FilterDatabase">Bhalukpong!$A$9:$I$40</definedName>
    <definedName hidden="1" localSheetId="72" name="_xlnm._FilterDatabase">Nabadwip!$A$9:$I$34</definedName>
    <definedName hidden="1" localSheetId="73" name="_xlnm._FilterDatabase">Kochi!$A$9:$I$40</definedName>
    <definedName hidden="1" localSheetId="74" name="_xlnm._FilterDatabase">Yusmarg!$A$9:$I$42</definedName>
    <definedName hidden="1" localSheetId="75" name="_xlnm._FilterDatabase">Kodaikanal!$A$9:$I$40</definedName>
    <definedName hidden="1" localSheetId="76" name="_xlnm._FilterDatabase">'Kinnaur &amp; Kalpa'!$A$9:$I$33</definedName>
    <definedName hidden="1" localSheetId="77" name="_xlnm._FilterDatabase">Puri!$A$9:$I$40</definedName>
    <definedName hidden="1" localSheetId="78" name="_xlnm._FilterDatabase">'McLeod Ganj'!$A$9:$I$40</definedName>
    <definedName hidden="1" localSheetId="79" name="_xlnm._FilterDatabase">Mysuru!$A$9:$I$37</definedName>
    <definedName hidden="1" localSheetId="80" name="_xlnm._FilterDatabase">'Lachen &amp; Lachung'!$A$9:$I$34</definedName>
    <definedName hidden="1" localSheetId="81" name="_xlnm._FilterDatabase">Srinagar!$A$9:$I$33</definedName>
    <definedName hidden="1" localSheetId="82" name="_xlnm._FilterDatabase">Coorg!$A$9:$I$50</definedName>
    <definedName hidden="1" localSheetId="83" name="_xlnm._FilterDatabase">Ahmedabad!$A$9:$I$40</definedName>
    <definedName hidden="1" localSheetId="84" name="_xlnm._FilterDatabase">Nainital!$A$9:$I$32</definedName>
    <definedName hidden="1" localSheetId="85" name="_xlnm._FilterDatabase">Rameshwaram!$A$9:$I$40</definedName>
    <definedName hidden="1" localSheetId="86" name="_xlnm._FilterDatabase">Purulia!$A$9:$I$34</definedName>
    <definedName hidden="1" localSheetId="87" name="_xlnm._FilterDatabase">Ayodhya!$A$9:$I$40</definedName>
    <definedName hidden="1" localSheetId="88" name="_xlnm._FilterDatabase">Corbett!$A$9:$I$39</definedName>
    <definedName hidden="1" localSheetId="89" name="_xlnm._FilterDatabase">Darjeeling!$A$9:$I$34</definedName>
    <definedName hidden="1" localSheetId="90" name="_xlnm._FilterDatabase">Kargil!$A$9:$I$33</definedName>
    <definedName hidden="1" localSheetId="91" name="_xlnm._FilterDatabase">Pahalgam!$A$9:$I$32</definedName>
    <definedName hidden="1" localSheetId="92" name="_xlnm._FilterDatabase">Jispa!$A$9:$I$39</definedName>
    <definedName hidden="1" localSheetId="93" name="_xlnm._FilterDatabase">Raipur!$A$9:$I$41</definedName>
    <definedName hidden="1" localSheetId="94" name="_xlnm._FilterDatabase">Mumbai!$A$9:$I$40</definedName>
    <definedName hidden="1" localSheetId="95" name="_xlnm._FilterDatabase">Munnar!$A$9:$I$37</definedName>
    <definedName hidden="1" localSheetId="96" name="_xlnm._FilterDatabase">Amritsar!$A$9:$I$40</definedName>
    <definedName hidden="1" localSheetId="97" name="_xlnm._FilterDatabase">Jaipur!$A$9:$I$43</definedName>
    <definedName hidden="1" localSheetId="98" name="_xlnm._FilterDatabase">Kasol!$A$9:$I$37</definedName>
    <definedName hidden="1" localSheetId="99" name="_xlnm._FilterDatabase">Daringbadi!$A$9:$I$40</definedName>
    <definedName hidden="1" localSheetId="100" name="_xlnm._FilterDatabase">'Bandhavgarh &amp; Kanha'!$A$9:$I$42</definedName>
    <definedName hidden="1" localSheetId="101" name="_xlnm._FilterDatabase">Pelling!$A$9:$I$34</definedName>
    <definedName hidden="1" localSheetId="102" name="_xlnm._FilterDatabase">Chandratal!$A$9:$I$36</definedName>
    <definedName hidden="1" localSheetId="103" name="_xlnm._FilterDatabase">Varanasi!$A$9:$I$41</definedName>
    <definedName hidden="1" localSheetId="104" name="_xlnm._FilterDatabase">Lucknow!$A$9:$I$41</definedName>
    <definedName hidden="1" localSheetId="105" name="_xlnm._FilterDatabase">Kanyakumari!$A$9:$I$39</definedName>
    <definedName hidden="1" localSheetId="106" name="_xlnm._FilterDatabase">Murshidabad!$A$9:$I$34</definedName>
    <definedName hidden="1" localSheetId="107" name="_xlnm._FilterDatabase">Namchi!$A$9:$I$34</definedName>
    <definedName hidden="1" localSheetId="108" name="_xlnm._FilterDatabase">Sangla!$A$9:$I$34</definedName>
    <definedName hidden="1" localSheetId="109" name="_xlnm._FilterDatabase">Kaza!$A$9:$I$39</definedName>
    <definedName hidden="1" localSheetId="110" name="_xlnm._FilterDatabase">Kandy!$A$9:$I$43</definedName>
    <definedName hidden="1" localSheetId="111" name="_xlnm._FilterDatabase">Dambulla!$A$9:$I$39</definedName>
    <definedName hidden="1" localSheetId="112" name="_xlnm._FilterDatabase">Colombo!$A$9:$I$43</definedName>
    <definedName hidden="1" localSheetId="113" name="_xlnm._FilterDatabase">Kataragama!$A$9:$I$42</definedName>
    <definedName hidden="1" localSheetId="114" name="_xlnm._FilterDatabase">Waskaduwa!$A$9:$I$41</definedName>
    <definedName hidden="1" localSheetId="115" name="_xlnm._FilterDatabase">Mirissa!$A$9:$I$45</definedName>
    <definedName hidden="1" localSheetId="116" name="_xlnm._FilterDatabase">Nauwaraeliya!$A$9:$I$47</definedName>
    <definedName hidden="1" localSheetId="117" name="_xlnm._FilterDatabase">Kathmandu!$A$9:$I$45</definedName>
    <definedName hidden="1" localSheetId="118" name="_xlnm._FilterDatabase">Birgunj!$A$9:$I$41</definedName>
    <definedName hidden="1" localSheetId="119" name="_xlnm._FilterDatabase">Pokhara!$A$9:$I$45</definedName>
    <definedName hidden="1" localSheetId="120" name="_xlnm._FilterDatabase">Chitwan!$A$9:$I$44</definedName>
    <definedName hidden="1" localSheetId="121" name="_xlnm._FilterDatabase">Paro!$A$9:$I$44</definedName>
    <definedName hidden="1" localSheetId="122" name="_xlnm._FilterDatabase">Thimphu!$A$9:$I$44</definedName>
    <definedName hidden="1" localSheetId="123" name="_xlnm._FilterDatabase">Phunotsoling!$A$9:$I$39</definedName>
    <definedName hidden="1" localSheetId="124" name="_xlnm._FilterDatabase">Punakha!$A$9:$I$40</definedName>
    <definedName hidden="1" localSheetId="125" name="_xlnm._FilterDatabase">Male!$A$9:$I$43</definedName>
    <definedName hidden="1" localSheetId="126" name="_xlnm._FilterDatabase">Maafushi!$A$9:$I$42</definedName>
    <definedName hidden="1" localSheetId="127" name="_xlnm._FilterDatabase">Wuhan!$A$9:$I$40</definedName>
    <definedName hidden="1" localSheetId="128" name="_xlnm._FilterDatabase">Sanghai!$A$9:$I$40</definedName>
    <definedName hidden="1" localSheetId="129" name="_xlnm._FilterDatabase">Beijing!$A$9:$I$40</definedName>
    <definedName hidden="1" localSheetId="130" name="_xlnm._FilterDatabase">Macau!$A$9:$I$40</definedName>
    <definedName hidden="1" localSheetId="131" name="_xlnm._FilterDatabase">'Hong Kong-Disneyland'!$A$9:$I$39</definedName>
    <definedName hidden="1" localSheetId="132" name="_xlnm._FilterDatabase">'Kailash Mansarovar'!$A$9:$I$40</definedName>
    <definedName hidden="1" localSheetId="133" name="_xlnm._FilterDatabase">Osaka!$A$9:$I$43</definedName>
    <definedName hidden="1" localSheetId="134" name="_xlnm._FilterDatabase">'Hiroshima &amp; Nagasaki'!$A$9:$I$40</definedName>
    <definedName hidden="1" localSheetId="135" name="_xlnm._FilterDatabase">Kyoto!$A$9:$I$42</definedName>
    <definedName hidden="1" localSheetId="136" name="_xlnm._FilterDatabase">'Nara &amp; Nagoya'!$A$9:$I$39</definedName>
    <definedName hidden="1" localSheetId="137" name="_xlnm._FilterDatabase">Tokyo!$A$9:$I$47</definedName>
    <definedName hidden="1" localSheetId="138" name="_xlnm._FilterDatabase">'Mt Fuji'!$A$9:$I$40</definedName>
    <definedName hidden="1" localSheetId="139" name="_xlnm._FilterDatabase">Busan!$A$9:$I$32</definedName>
    <definedName hidden="1" localSheetId="140" name="_xlnm._FilterDatabase">Seol!$A$9:$I$32</definedName>
    <definedName hidden="1" localSheetId="141" name="_xlnm._FilterDatabase">Yogyakarta!$A$9:$I$36</definedName>
    <definedName hidden="1" localSheetId="142" name="_xlnm._FilterDatabase">Bali!$A$9:$I$40</definedName>
    <definedName hidden="1" localSheetId="143" name="_xlnm._FilterDatabase">Java!$A$9:$I$32</definedName>
    <definedName hidden="1" localSheetId="144" name="_xlnm._FilterDatabase">Sumatra!$A$9:$I$32</definedName>
    <definedName hidden="1" localSheetId="145" name="_xlnm._FilterDatabase">Phuket!$A$9:$I$34</definedName>
    <definedName hidden="1" localSheetId="146" name="_xlnm._FilterDatabase">Bangkok!$A$9:$I$33</definedName>
    <definedName hidden="1" localSheetId="147" name="_xlnm._FilterDatabase">Pattaya!$A$9:$I$33</definedName>
    <definedName hidden="1" localSheetId="148" name="_xlnm._FilterDatabase">Krabi!$A$9:$I$33</definedName>
    <definedName hidden="1" localSheetId="149" name="_xlnm._FilterDatabase">'Phu Quoc'!$A$9:$I$42</definedName>
    <definedName hidden="1" localSheetId="150" name="_xlnm._FilterDatabase">Nathrang!$A$9:$I$42</definedName>
    <definedName hidden="1" localSheetId="151" name="_xlnm._FilterDatabase">'Ha Long Bay'!$A$9:$I$42</definedName>
    <definedName hidden="1" localSheetId="152" name="_xlnm._FilterDatabase">Hochiminh!$A$9:$I$41</definedName>
    <definedName hidden="1" localSheetId="153" name="_xlnm._FilterDatabase">Sapa!$A$9:$I$43</definedName>
    <definedName hidden="1" localSheetId="154" name="_xlnm._FilterDatabase">'Bau Trang'!$A$9:$I$42</definedName>
    <definedName hidden="1" localSheetId="155" name="_xlnm._FilterDatabase">'Mekong Delta'!$A$9:$I$40</definedName>
    <definedName hidden="1" localSheetId="156" name="_xlnm._FilterDatabase">Danang!$A$9:$I$42</definedName>
    <definedName hidden="1" localSheetId="157" name="_xlnm._FilterDatabase">Hanoi!$A$9:$I$42</definedName>
    <definedName hidden="1" localSheetId="158" name="_xlnm._FilterDatabase">'Batu Caves'!$A$9:$I$32</definedName>
    <definedName hidden="1" localSheetId="159" name="_xlnm._FilterDatabase">Penang!$A$9:$I$32</definedName>
    <definedName hidden="1" localSheetId="160" name="_xlnm._FilterDatabase">Langkawi.!$A$9:$I$32</definedName>
    <definedName hidden="1" localSheetId="161" name="_xlnm._FilterDatabase">'Cameron Highlands'!$A$9:$I$32</definedName>
    <definedName hidden="1" localSheetId="162" name="_xlnm._FilterDatabase">'Kuala Lumpur'!$A$9:$I$33</definedName>
    <definedName hidden="1" localSheetId="163" name="_xlnm._FilterDatabase">'El Nido'!$A$9:$I$32</definedName>
    <definedName hidden="1" localSheetId="164" name="_xlnm._FilterDatabase">Bohol!$A$9:$I$32</definedName>
    <definedName hidden="1" localSheetId="165" name="_xlnm._FilterDatabase">Cebu!$A$9:$I$32</definedName>
    <definedName hidden="1" localSheetId="166" name="_xlnm._FilterDatabase">Manila!$A$9:$I$32</definedName>
    <definedName hidden="1" localSheetId="167" name="_xlnm._FilterDatabase">Boracay!$A$9:$I$33</definedName>
    <definedName hidden="1" localSheetId="168" name="_xlnm._FilterDatabase">'Phnom Penh'!$A$9:$I$32</definedName>
    <definedName hidden="1" localSheetId="169" name="_xlnm._FilterDatabase">'Angkor Wat'!$A$9:$I$32</definedName>
    <definedName hidden="1" localSheetId="170" name="_xlnm._FilterDatabase">Singapore!$A$9:$I$42</definedName>
    <definedName hidden="1" localSheetId="171" name="_xlnm._FilterDatabase">London!$A$9:$I$33</definedName>
    <definedName hidden="1" localSheetId="172" name="_xlnm._FilterDatabase">Manchester!$A$9:$I$32</definedName>
    <definedName hidden="1" localSheetId="173" name="_xlnm._FilterDatabase">Liverpool!$A$9:$I$32</definedName>
    <definedName hidden="1" localSheetId="174" name="_xlnm._FilterDatabase">Edinburg!$A$9:$I$41</definedName>
    <definedName hidden="1" localSheetId="175" name="_xlnm._FilterDatabase">Dublin!$A$9:$I$40</definedName>
    <definedName hidden="1" localSheetId="176" name="_xlnm._FilterDatabase">France!$A$9:$I$44</definedName>
    <definedName hidden="1" localSheetId="177" name="_xlnm._FilterDatabase">Venice!$A$9:$I$41</definedName>
    <definedName hidden="1" localSheetId="178" name="_xlnm._FilterDatabase">Rome!$A$9:$I$40</definedName>
    <definedName hidden="1" localSheetId="179" name="_xlnm._FilterDatabase">Spain!$A$9:$I$40</definedName>
    <definedName hidden="1" localSheetId="180" name="_xlnm._FilterDatabase">Portugal!$A$9:$I$41</definedName>
    <definedName hidden="1" localSheetId="181" name="_xlnm._FilterDatabase">Germany!$A$9:$I$42</definedName>
    <definedName hidden="1" localSheetId="182" name="_xlnm._FilterDatabase">Netherlands!$A$9:$I$41</definedName>
    <definedName hidden="1" localSheetId="183" name="_xlnm._FilterDatabase">Belgium!$A$9:$I$42</definedName>
    <definedName hidden="1" localSheetId="184" name="_xlnm._FilterDatabase">Switzerland!$A$9:$I$45</definedName>
    <definedName hidden="1" localSheetId="185" name="_xlnm._FilterDatabase">Austria!$A$9:$I$41</definedName>
    <definedName hidden="1" localSheetId="186" name="_xlnm._FilterDatabase">Luxembourg!$A$9:$I$44</definedName>
    <definedName hidden="1" localSheetId="187" name="_xlnm._FilterDatabase">Linchestine!$A$9:$I$38</definedName>
    <definedName hidden="1" localSheetId="188" name="_xlnm._FilterDatabase">Czech!$A$9:$I$40</definedName>
    <definedName hidden="1" localSheetId="189" name="_xlnm._FilterDatabase">Poland!$A$9:$I$39</definedName>
    <definedName hidden="1" localSheetId="190" name="_xlnm._FilterDatabase">Hungery!$A$9:$I$39</definedName>
    <definedName hidden="1" localSheetId="191" name="_xlnm._FilterDatabase">Romania!$A$9:$I$39</definedName>
    <definedName hidden="1" localSheetId="192" name="_xlnm._FilterDatabase">Sweden!$A$9:$I$39</definedName>
    <definedName hidden="1" localSheetId="193" name="_xlnm._FilterDatabase">Norway!$A$9:$I$41</definedName>
    <definedName hidden="1" localSheetId="194" name="_xlnm._FilterDatabase">Finland!$A$9:$I$39</definedName>
    <definedName hidden="1" localSheetId="195" name="_xlnm._FilterDatabase">Denmark!$A$9:$I$39</definedName>
    <definedName hidden="1" localSheetId="196" name="_xlnm._FilterDatabase">Iceland!$A$9:$I$38</definedName>
    <definedName hidden="1" localSheetId="197" name="_xlnm._FilterDatabase">'St Petersburg'!$A$9:$I$33</definedName>
    <definedName hidden="1" localSheetId="198" name="_xlnm._FilterDatabase">Moscow!$A$9:$I$35</definedName>
    <definedName hidden="1" localSheetId="199" name="_xlnm._FilterDatabase">Teriberka!$A$9:$I$40</definedName>
    <definedName hidden="1" localSheetId="200" name="_xlnm._FilterDatabase">Murmansk!$A$9:$I$37</definedName>
    <definedName hidden="1" localSheetId="201" name="_xlnm._FilterDatabase">Cappadocia!$A$9:$I$31</definedName>
    <definedName hidden="1" localSheetId="202" name="_xlnm._FilterDatabase">Istanbul!$A$9:$I$31</definedName>
    <definedName hidden="1" localSheetId="203" name="_xlnm._FilterDatabase">Santorini!$A$9:$I$31</definedName>
    <definedName hidden="1" localSheetId="204" name="_xlnm._FilterDatabase">Athens!$A$9:$I$31</definedName>
    <definedName hidden="1" localSheetId="205" name="_xlnm._FilterDatabase">Melbourne!$A$9:$I$38</definedName>
    <definedName hidden="1" localSheetId="206" name="_xlnm._FilterDatabase">Sydney!$A$9:$I$38</definedName>
    <definedName hidden="1" localSheetId="207" name="_xlnm._FilterDatabase">Auckland!$A$9:$I$41</definedName>
    <definedName hidden="1" localSheetId="208" name="_xlnm._FilterDatabase">Queenstown!$A$9:$I$40</definedName>
    <definedName hidden="1" localSheetId="209" name="_xlnm._FilterDatabase">Suva!$A$9:$I$41</definedName>
    <definedName hidden="1" localSheetId="210" name="_xlnm._FilterDatabase">Tahiti!$A$9:$I$40</definedName>
    <definedName hidden="1" localSheetId="211" name="_xlnm._FilterDatabase">'South Islands'!$A$9:$I$34</definedName>
    <definedName hidden="1" localSheetId="212" name="_xlnm._FilterDatabase">'Borneo Island'!$A$9:$I$32</definedName>
    <definedName hidden="1" localSheetId="213" name="_xlnm._FilterDatabase">Hurling!$A$9:$I$33</definedName>
    <definedName hidden="1" localSheetId="214" name="_xlnm._FilterDatabase">Pricing_Engine_Inputs!$A$1:$D$28</definedName>
  </definedNames>
  <calcPr/>
</workbook>
</file>

<file path=xl/sharedStrings.xml><?xml version="1.0" encoding="utf-8"?>
<sst xmlns="http://schemas.openxmlformats.org/spreadsheetml/2006/main" count="34523" uniqueCount="2905">
  <si>
    <t>Level</t>
  </si>
  <si>
    <t>Cairo — Pricing Rules</t>
  </si>
  <si>
    <t>Luxor — Pricing Rules</t>
  </si>
  <si>
    <t>Rule</t>
  </si>
  <si>
    <t>Unit</t>
  </si>
  <si>
    <t>Value</t>
  </si>
  <si>
    <t>Notes</t>
  </si>
  <si>
    <t>Package</t>
  </si>
  <si>
    <t>Base Agent Markup</t>
  </si>
  <si>
    <t>%</t>
  </si>
  <si>
    <t>Destination</t>
  </si>
  <si>
    <t>Applied to direct cost</t>
  </si>
  <si>
    <t>Premium / Luxury Markup</t>
  </si>
  <si>
    <t>Luxor</t>
  </si>
  <si>
    <t>Cairo</t>
  </si>
  <si>
    <t>Alexandria — Pricing Rules</t>
  </si>
  <si>
    <t>Optional override</t>
  </si>
  <si>
    <t>Low Season Promotional Markup</t>
  </si>
  <si>
    <t>Optional</t>
  </si>
  <si>
    <t>Region</t>
  </si>
  <si>
    <t>Service</t>
  </si>
  <si>
    <t>Hotel Markup</t>
  </si>
  <si>
    <t>Egypt</t>
  </si>
  <si>
    <t>If component-level markup is used</t>
  </si>
  <si>
    <t>Currency</t>
  </si>
  <si>
    <t>EGP</t>
  </si>
  <si>
    <t>Flight Markup</t>
  </si>
  <si>
    <t>EGP→Local FX</t>
  </si>
  <si>
    <t>Transport Markup</t>
  </si>
  <si>
    <t>Default Zone</t>
  </si>
  <si>
    <t>Activity Markup</t>
  </si>
  <si>
    <t>Central / Outskirts</t>
  </si>
  <si>
    <t>Tax</t>
  </si>
  <si>
    <t>Category</t>
  </si>
  <si>
    <t>Sales / VAT</t>
  </si>
  <si>
    <t>Alexandria</t>
  </si>
  <si>
    <t>Enter applicable tax rate</t>
  </si>
  <si>
    <t>Fee</t>
  </si>
  <si>
    <t>Payment Gateway Fee</t>
  </si>
  <si>
    <t>Parameter</t>
  </si>
  <si>
    <t>Subcategory</t>
  </si>
  <si>
    <t>FX / Currency Buffer</t>
  </si>
  <si>
    <t>Zone/Duration</t>
  </si>
  <si>
    <t>Baseline USD</t>
  </si>
  <si>
    <t>Local Currency INR</t>
  </si>
  <si>
    <t>Hotel</t>
  </si>
  <si>
    <t>3 Star</t>
  </si>
  <si>
    <t>Room with Breakfast Only</t>
  </si>
  <si>
    <t>Central</t>
  </si>
  <si>
    <t>Room/Night</t>
  </si>
  <si>
    <t>Replace with contracted rate</t>
  </si>
  <si>
    <t>Outskirts</t>
  </si>
  <si>
    <t>4 Star</t>
  </si>
  <si>
    <t>5 Star</t>
  </si>
  <si>
    <t>Luxury 5 Star</t>
  </si>
  <si>
    <t>Transport</t>
  </si>
  <si>
    <t>Airport→Hotel</t>
  </si>
  <si>
    <t>Standard</t>
  </si>
  <si>
    <t>Per service</t>
  </si>
  <si>
    <t>Vehicle</t>
  </si>
  <si>
    <t>Vehicle class override available</t>
  </si>
  <si>
    <t>Hotel→Airport</t>
  </si>
  <si>
    <t>Hotel→Sightseeing</t>
  </si>
  <si>
    <t>Full Day Vehicle</t>
  </si>
  <si>
    <t>Extra Hour</t>
  </si>
  <si>
    <t>Meals</t>
  </si>
  <si>
    <t>Lunch</t>
  </si>
  <si>
    <t>Per meal</t>
  </si>
  <si>
    <t>Person</t>
  </si>
  <si>
    <t>Meal category override available</t>
  </si>
  <si>
    <t>Dinner</t>
  </si>
  <si>
    <t>Snack</t>
  </si>
  <si>
    <t>Welcome_Drink</t>
  </si>
  <si>
    <t>Activities_ID</t>
  </si>
  <si>
    <t>Activities</t>
  </si>
  <si>
    <t>CAIRO_A_GIZA_PYRAMIDS</t>
  </si>
  <si>
    <t>Person/Group</t>
  </si>
  <si>
    <t>Airport → Hotel</t>
  </si>
  <si>
    <t>Ticket/guide unit must be validated</t>
  </si>
  <si>
    <t>Hotel → Airport</t>
  </si>
  <si>
    <t>CAIRO_A_DOWNTOWN CAIRO / TAHRIR</t>
  </si>
  <si>
    <t>Hotel → Sightseeing</t>
  </si>
  <si>
    <t>CAIRO_A_ZAMALEK</t>
  </si>
  <si>
    <t>CAIRO_A_GARDEN CITY / CORNICHE</t>
  </si>
  <si>
    <t>CAIRO_A_ISLAMIC CAIRO / KHAN EL-KHALILI</t>
  </si>
  <si>
    <t>CAIRO_A_COPTIC CAIRO / OLD CAIRO</t>
  </si>
  <si>
    <t>CAIRO_A_HELIOPOLIS / NEW CAIRO</t>
  </si>
  <si>
    <t>CAIRO_A_NILE CORNICHE</t>
  </si>
  <si>
    <t>CAIRO_A_SAQQARA / DAHSHUR OUTSKIRTS</t>
  </si>
  <si>
    <t>Welcome Drink</t>
  </si>
  <si>
    <t>LUXOR_A_EAST BANK LUXOR (TEMPLE DISTRICT)</t>
  </si>
  <si>
    <t>ALEXANDRIA_A_CENTRAL CORNICHE / BIBLIOTHECA AREA</t>
  </si>
  <si>
    <t>LUXOR_A_WEST BANK LUXOR (NECROPOLIS AREA)</t>
  </si>
  <si>
    <t>ALEXANDRIA_A_QAITBAY / WESTERN HARBOUR AREA</t>
  </si>
  <si>
    <t>LUXOR_A_LUXOR CORNICHE / EAST BANK WATERFRONT</t>
  </si>
  <si>
    <t>LUXOR_A_LUXOR TOWN CENTER / MARKET AREA</t>
  </si>
  <si>
    <t>LUXOR_A_WEST BANK VILLAGE AREA (NEAR FERRIES)</t>
  </si>
  <si>
    <t>ALEXANDRIA_A_CENTRAL ALEXANDRIA / RAML STATION AREA</t>
  </si>
  <si>
    <t>LUXOR_A_KARNAK / NORTH EAST BANK</t>
  </si>
  <si>
    <t>LUXOR_A_VALLEY OF THE KINGS / WEST BANK HIGHLIGHTS</t>
  </si>
  <si>
    <t>ALEXANDRIA_A_KOM EL-DIKKA / HISTORIC CITY CENTER</t>
  </si>
  <si>
    <t>LUXOR_A_LUXOR MUSEUM / CENTRAL EAST BANK</t>
  </si>
  <si>
    <t>LUXOR_A_LUXOR AIRPORT / SOUTH EAST BANK</t>
  </si>
  <si>
    <t>ALEXANDRIA_A_KOM EL-SHOQAFA / POMPEY’S PILLAR AREA</t>
  </si>
  <si>
    <t>ALEXANDRIA_A_STANLEY / EASTERN CORNICHE</t>
  </si>
  <si>
    <t>ALEXANDRIA_A_SAN STEFANO / EASTERN WATERFRONT</t>
  </si>
  <si>
    <t>ALEXANDRIA_A_MONTAZA / PALACE GARDENS AREA</t>
  </si>
  <si>
    <t>ALEXANDRIA_A_MIAMI / EASTERN BEACH DISTRICT</t>
  </si>
  <si>
    <t>ALEXANDRIA_A_ALEXANDRIA TRAIN STATION / MAHATTA MISR AREA</t>
  </si>
  <si>
    <t>Nile — Pricing Rules</t>
  </si>
  <si>
    <t>Nile</t>
  </si>
  <si>
    <t>Cruise</t>
  </si>
  <si>
    <t>Amboseli National Park — Pricing Rules</t>
  </si>
  <si>
    <t>Amboseli National Park</t>
  </si>
  <si>
    <t>Kenya</t>
  </si>
  <si>
    <t>KES</t>
  </si>
  <si>
    <t>KES→Local FX</t>
  </si>
  <si>
    <t>Airport→Cruise</t>
  </si>
  <si>
    <t>Cruise→Airport</t>
  </si>
  <si>
    <t>Cruise→Sightseeing</t>
  </si>
  <si>
    <t>NA</t>
  </si>
  <si>
    <t>AMBOSELI_NATIONAL_PARK_A_AMBOSELI SWAMPS</t>
  </si>
  <si>
    <t>AMBOSELI_NATIONAL_PARK_A_KIMANA GATE / MESHANANI GATE AREA</t>
  </si>
  <si>
    <t>NILE_A_GIZA_PYRAMIDS</t>
  </si>
  <si>
    <t>AMBOSELI_NATIONAL_PARK_A_NAMANGA / LOITOKITOK SIDE</t>
  </si>
  <si>
    <t>AMBOSELI_NATIONAL_PARK_A_AMBOSELI AIRS Trip (ASV) VICINITY</t>
  </si>
  <si>
    <t>AMBOSELI_NATIONAL_PARK_A_OUTSIDE-PARK BOUNDARY (Kajiado side)</t>
  </si>
  <si>
    <t>NILE_A_DOWNTOWN CAIRO / TAHRIR</t>
  </si>
  <si>
    <t>NILE_A_ZAMALEK</t>
  </si>
  <si>
    <t>NILE_A_GARDEN CITY / NILE CORNICHE</t>
  </si>
  <si>
    <t>NILE_A_ISLAMIC CAIRO / KHAN EL-KHALILI</t>
  </si>
  <si>
    <t>NILE_A_COPTIC CAIRO / OLD CAIRO</t>
  </si>
  <si>
    <t>NILE_A_HELIOPOLIS / NEW CAIRO</t>
  </si>
  <si>
    <t>NILE_A_NILE CORNICHE</t>
  </si>
  <si>
    <t>NILE_A_LUXOR</t>
  </si>
  <si>
    <t>NILE_A_ASWAN</t>
  </si>
  <si>
    <t>NILE_A_SAQQARA / DAHSHUR OUTSKIRTS</t>
  </si>
  <si>
    <t>NILE_A_ABU SIMBEL</t>
  </si>
  <si>
    <t>Masaimara — Pricing Rules</t>
  </si>
  <si>
    <t>Lake Naivasha — Pricing Rules</t>
  </si>
  <si>
    <t>Masaimara</t>
  </si>
  <si>
    <t>Lake Naivasha</t>
  </si>
  <si>
    <t>Nairobi — Pricing Rules</t>
  </si>
  <si>
    <t>Nairobi</t>
  </si>
  <si>
    <t>MASAIMARA_A_MASAI MARA NATIONAL RESERVE</t>
  </si>
  <si>
    <t>MASAIMARA_A_MARA TRIANGLE</t>
  </si>
  <si>
    <t>MASAIMARA_A_MARA CONSERVANCIES</t>
  </si>
  <si>
    <t>MASAIMARA_A_MARA RIVER / MIGRATION AREA</t>
  </si>
  <si>
    <t>MASAIMARA_A_TALek / SAND RIVER AREA</t>
  </si>
  <si>
    <t>MASAIMARA_A_NAROK / MARA GATE APPROACH</t>
  </si>
  <si>
    <t>NAIROBI_A_NAIROBI NATIONAL PARK</t>
  </si>
  <si>
    <t>LAKE_NAIVASHA_A_LAKE NAIVASHA LAKESIDE / NAIVASHA TOWN</t>
  </si>
  <si>
    <t>NAIROBI_A_KAREN AREA</t>
  </si>
  <si>
    <t>LAKE_NAIVASHA_A_CRESCENT ISLAND GAME SANCTUARY</t>
  </si>
  <si>
    <t>NAIROBI_A_WESTLANDS</t>
  </si>
  <si>
    <t>NAIROBI_A_CBD / CITY CENTRE</t>
  </si>
  <si>
    <t>NAIROBI_A_GIGIRI / RIVERSIDE</t>
  </si>
  <si>
    <t>LAKE_NAIVASHA_A_HELL’S GATE NATIONAL PARK</t>
  </si>
  <si>
    <t>LAKE_NAIVASHA_A_LAKE NAIVASHA BOAT-TRIP AREA</t>
  </si>
  <si>
    <t>NAIROBI_A_JKIA / AIRPORT AREA</t>
  </si>
  <si>
    <t>LAKE_NAIVASHA_A_LAKE NAIVASHA SOUTHERN SHORE / LODGE AREA</t>
  </si>
  <si>
    <t>LAKE_NAIVASHA_A_NORTHWESTERN LAKE / GILGIL APPROACH</t>
  </si>
  <si>
    <t>Cape Town — Pricing Rules</t>
  </si>
  <si>
    <t>Cape Town</t>
  </si>
  <si>
    <t>South Africa</t>
  </si>
  <si>
    <t>ZAR</t>
  </si>
  <si>
    <t>ZAR→Local FX</t>
  </si>
  <si>
    <t>Johannesburg — Pricing Rules</t>
  </si>
  <si>
    <t>Johannesburg</t>
  </si>
  <si>
    <t>Mahe Island — Pricing Rules</t>
  </si>
  <si>
    <t>CAPE_TOWN_A_CITY BOWL &amp; V&amp;A WATERFRONT</t>
  </si>
  <si>
    <t>Mahe Island</t>
  </si>
  <si>
    <t>Seychelles</t>
  </si>
  <si>
    <t>SCR</t>
  </si>
  <si>
    <t>SCR→Local FX</t>
  </si>
  <si>
    <t>CAPE_TOWN_A_ATLANTIC SEABOARD (CAMPS BAY &amp; SEA POINT)</t>
  </si>
  <si>
    <t>Port Louis — Pricing Rules</t>
  </si>
  <si>
    <t>CAPE_TOWN_A_SOUTHERN SUBURBS &amp; KIRSTENBOSCH (CONSTANTIA &amp; NEWLANDS)</t>
  </si>
  <si>
    <t>CAPE_TOWN_A_HOUT BAY &amp; CAPE PENINSULA (CHAPMAN'S PEAK ROUTE)</t>
  </si>
  <si>
    <t>Port Louis</t>
  </si>
  <si>
    <t>Mauritius</t>
  </si>
  <si>
    <t>MUR</t>
  </si>
  <si>
    <t>MUR→Local FX</t>
  </si>
  <si>
    <t>JOHANNESBURG_A_SANDTON &amp; ROSEBANK (UPMARKET NORTH)</t>
  </si>
  <si>
    <t>JOHANNESBURG_A_SOWETO (SOUTH WEST TOWNSHIP)</t>
  </si>
  <si>
    <t>JOHANNESBURG_A_MOBONENG &amp; BRAAMFONTEIN (URBAN REGENERATION &amp; ARTS)</t>
  </si>
  <si>
    <t>MAHE_A_VICTORIA_CULTURAL_CORE</t>
  </si>
  <si>
    <t>JOHANNESBURG_A_MELVILLE &amp; PARKHURST (LEAFY HERITAGE SUBURBS)</t>
  </si>
  <si>
    <t>MAHE_A_BEAU_VALLON_BEACH_CORE</t>
  </si>
  <si>
    <t>MAHE_A_MORNE_SEYCHELLOIS_HIGHLANDS_CORE</t>
  </si>
  <si>
    <t>MAHE_A_BEL_OMBRE_ANSE_MAJOR_CORE</t>
  </si>
  <si>
    <t>MAHE_A_PORT_LAUNAY_MARINE_CORE</t>
  </si>
  <si>
    <t>MAHE_A_ANSE_ROYALE_FAMILY_BEACH_CORE</t>
  </si>
  <si>
    <t>MAHE_A_TAKAMAKA_ANSE_INTENDANCE_CORE</t>
  </si>
  <si>
    <t>MAHE_A_BAIE_LAZARE_ANSE_LA_MOUCHE_CORE</t>
  </si>
  <si>
    <t>MAHE_A_EDEN_ISLAND_MARINA_CORE</t>
  </si>
  <si>
    <t>MAHE_A_STE_ANNE_MARINE_PARK_CORE</t>
  </si>
  <si>
    <t>MAHE_A_MISSION_LODGE_SANS_SOUCIS_CORE</t>
  </si>
  <si>
    <t>MAHE_A_ANSE_AUX_PINS_CREOLE_CORE</t>
  </si>
  <si>
    <t>PORT_LOUIS_A_CAUDAN WATERFRONT</t>
  </si>
  <si>
    <t>PORT_LOUIS_A_CBD / CITY CENTRE</t>
  </si>
  <si>
    <t>PORT_LOUIS_A_CAUDAN / EBÈNE AREA</t>
  </si>
  <si>
    <t>PORT_LOUIS_A_GRAND BAY / NORD</t>
  </si>
  <si>
    <t>PORT_LOUIS_A_FOURAS / FLACQ AREA</t>
  </si>
  <si>
    <t>PORT_LOUIS_A_MRU / AIRPORT AREA</t>
  </si>
  <si>
    <t>Ile Aux Cerfs — Pricing Rules</t>
  </si>
  <si>
    <t>Ile Aux Cerfs</t>
  </si>
  <si>
    <t>LLE_AUX_CERFS_A_ÎLE AUX CERFS / EAST COAST LAGOON CORE</t>
  </si>
  <si>
    <t>LLE_AUX_CERFS_A_TROU D’EAU DOUCE / BOAT DEPARTURE AREA</t>
  </si>
  <si>
    <t>LLE_AUX_CERFS_A_BELLE MARE / EAST COAST BEACH BELT</t>
  </si>
  <si>
    <t>LLE_AUX_CERFS_A_FLACQ / CENTRAL EAST MAURITIUS</t>
  </si>
  <si>
    <t>LLE_AUX_CERFS_A_GRAND BAIE / NORTHERN RESORT ZONE</t>
  </si>
  <si>
    <t>LLE_AUX_CERFS_A_CUREPIPE / CENTRAL HIGHLANDS</t>
  </si>
  <si>
    <t>LLE_AUX_CERFS_A_EAST COAST RESORT CORRIDOR</t>
  </si>
  <si>
    <t>Abu Dhabi — Pricing Rules</t>
  </si>
  <si>
    <t xml:space="preserve">Abu Dhabi </t>
  </si>
  <si>
    <t>Middle East</t>
  </si>
  <si>
    <t>AED</t>
  </si>
  <si>
    <t>AED→Local FX</t>
  </si>
  <si>
    <t>Abu Dhabi</t>
  </si>
  <si>
    <t>DXB_A_BURJ_KHALIFA_828M_TALLEST_BUILDING_WORLD + DUBAI_MALL_BIGGEST_MALL_WORLD + DUBAI_FOUNTAIN + DUBAI_AQUARIUM</t>
  </si>
  <si>
    <t>Muscat — Pricing Rules</t>
  </si>
  <si>
    <t>DXB_A_BURJ_AL_ARAB_7STAR + PALM_JUMEIRAH_MAN_MADE_ISLAND + ATLANTIS + ATLANTIS_THE_ROYAL + THE_POINTE + AIN_DUBAI + BLUEWATERS</t>
  </si>
  <si>
    <t>Muscat</t>
  </si>
  <si>
    <t>Oman</t>
  </si>
  <si>
    <t>OMR</t>
  </si>
  <si>
    <t>OMR→Local FX</t>
  </si>
  <si>
    <t>Amman — Pricing Rules</t>
  </si>
  <si>
    <t>DXB_A_DUBAI_MARINA + JBR_BEACH + JUMEIRAH_BEACH + MARINA_BEACH + KITE_BEACH + PALM_BEACH + ATLANTIS_BEACH + MARINA_CRUISE</t>
  </si>
  <si>
    <t>DXB_A_DESERT_SAFARI_EVENING_DUNE_BASHING_CAMEL_QUAD_BIKE_DESERT_CAMP_BBQ_FAMOUS_BEST_DESERT_ADVENTURE_DUBAI</t>
  </si>
  <si>
    <t>Amman</t>
  </si>
  <si>
    <t>Jordan</t>
  </si>
  <si>
    <t>JOD</t>
  </si>
  <si>
    <t>JOD→Local FX</t>
  </si>
  <si>
    <t>DXB_A_DUBAI_CREEK + GOLD_SOUK + SPICE_SOUK + AL_FAHIDI_HISTORICAL + DUBAI_MUSEUM + DUBAI_FRAME + MUSEUM_OF_FUTURE + MIRACLE_GARDEN + GLOBAL_VILLAGE + DUBAI_PARKS_LEGOLAND_MOTIONGATE_IMG_WORLDS_ATLANTIS_AQUAVENTURE_WILD_WADI_SKI_DUBAI</t>
  </si>
  <si>
    <t>AUH_A_SHEIKH_ZAYED_GRAND_MOSQUE_LARGEST_MOSQUE_UAE_82_DOMES_FAMOUS_BEST_MOSQUE_UAE_BEST_CULTURE_UAE</t>
  </si>
  <si>
    <t>AUH_A_LOUVRE_ABU_DHABI + QASR_AL_WATAN_PRESIDENTIAL_PALACE + EMIRATES_PALACE_7STAR + HERITAGE_VILLAGE + QASR_AL_HOSN</t>
  </si>
  <si>
    <t>AUH_A_YAS_ISLAND + FERRARI_WORLD_FASTEST_ROLLER_COASTER + YAS_WATERWORLD + WARNER_BROS_WORLD + SEAWORLD_YAS_ISLAND_FAMOUS_BEST_FAMILY_YAS_ISLAND_BEST_THEME_PARKS_UAE</t>
  </si>
  <si>
    <t>AUH_A_SAADIYAT_BEACH_BEST_BEACH_UAE + YAS_BEACH + CORNICHE_BEACH + SAADIYAT_ISLAND + SAADIYAT_CULTURAL_DISTRICT + GUGGENHEIM_UPCOMING + ZAYED_NATIONAL_MUSEUM_UPCOMING</t>
  </si>
  <si>
    <t>AUH_A_DESERT_SAFARI_EVENING_DUNE_BASHING_CAMEL_QUAD_BIKE_DESERT_CAMP_BBQ + LIWA_DESERT + QASR_AL_SARAB_DESERT_RESORT + MANGROVES_KAYAKING</t>
  </si>
  <si>
    <t>MUSCAT_A_MUTRAH_CORNICHE_SOUQ_CORE</t>
  </si>
  <si>
    <t>MUSCAT_A_OLD_MUSCAT_AL_ALAM_CORE</t>
  </si>
  <si>
    <t>MUSCAT_A_SULTAN_QABOOS_MOSQUE_CORE</t>
  </si>
  <si>
    <t>MUSCAT_A_QURUM_SHATTI_CORE</t>
  </si>
  <si>
    <t>AMMAN_A_AMMAN_CITADEL</t>
  </si>
  <si>
    <t>MUSCAT_A_ROYAL_OPERA_HOUSE_CORE</t>
  </si>
  <si>
    <t>MUSCAT_A_BAIT_AL_ZUBAIR_MUSEUM_CORE</t>
  </si>
  <si>
    <t>MUSCAT_A_AL_MOUJ_COAST_CORE</t>
  </si>
  <si>
    <t>AMMAN_A_ROMAN_THEATER</t>
  </si>
  <si>
    <t>MUSCAT_A_BANDAR_AL_KHAIRAN_CORE</t>
  </si>
  <si>
    <t>MUSCAT_A_DAYMANIYAT_ISLANDS_CORE</t>
  </si>
  <si>
    <t>MUSCAT_A_AZAIBA_GHUBRA_CORE</t>
  </si>
  <si>
    <t>AMMAN_A_DOWNTOWN_AL_BALAD_SOUKS</t>
  </si>
  <si>
    <t>MUSCAT_A_RUWI_WADI_KABIR_CORE</t>
  </si>
  <si>
    <t>AMMAN_A_RAINBOW_STREET</t>
  </si>
  <si>
    <t>MUSCAT_A_REGIONAL_EXCURSION_CORE</t>
  </si>
  <si>
    <t>AMMAN_A_JABAL_WEIBDEH</t>
  </si>
  <si>
    <t>AMMAN_A_THE_JORDAN_MUSEUM</t>
  </si>
  <si>
    <t>AMMAN_A_KING_ABDULLAH_I_MOSQUE</t>
  </si>
  <si>
    <t>AMMAN_A_ROYAL_AUTOMOBILE_MUSEUM</t>
  </si>
  <si>
    <t>AMMAN_A_ABDALI_DISTRICT_AND_BOULEVARD</t>
  </si>
  <si>
    <t>AMMAN_A_JERASH_ANCIENT_CITY</t>
  </si>
  <si>
    <t>AMMAN_A_DEAD_SEA_RESORT_COAST</t>
  </si>
  <si>
    <t>AMMAN_A_MADABA_AND_MOUNT_NEBO</t>
  </si>
  <si>
    <t>AMMAN_A_DARAT_AL_FUNUN</t>
  </si>
  <si>
    <t>Petra — Pricing Rules</t>
  </si>
  <si>
    <t>Petra</t>
  </si>
  <si>
    <t>PETRA_A_AL_KHAZNEH_TREASURY</t>
  </si>
  <si>
    <t>PETRA_A_THE_SIQ</t>
  </si>
  <si>
    <t>Batumi — Pricing Rules</t>
  </si>
  <si>
    <t>PETRA_A_AD_DEIR_MONASTERY</t>
  </si>
  <si>
    <t>PETRA_A_ROYAL_TOMBS</t>
  </si>
  <si>
    <t>Batumi</t>
  </si>
  <si>
    <t>PETRA_A_HIGH_PLACE_OF_SACRIFICE</t>
  </si>
  <si>
    <t>Georgia</t>
  </si>
  <si>
    <t>GEL</t>
  </si>
  <si>
    <t>GEL→Local FX</t>
  </si>
  <si>
    <t>PETRA_A_STREET_OF_FACADES_AND_COLONNADED_STREET</t>
  </si>
  <si>
    <t>PETRA_A_LITTLE_PETRA</t>
  </si>
  <si>
    <t>PETRA_A_PETRA_MUSEUM</t>
  </si>
  <si>
    <t>PETRA_A_AL_KHUBTHA_TRAIL_VIEWPOINT</t>
  </si>
  <si>
    <t>PETRA_A_BYZANTINE_CHURCH</t>
  </si>
  <si>
    <t>PETRA_A_WADI_MUSA_TOWN_CENTER</t>
  </si>
  <si>
    <t>PETRA_A_TOURISM_STREET</t>
  </si>
  <si>
    <t>PETRA_A_UMM_AL_BIYARA_BACKCOUNTRY</t>
  </si>
  <si>
    <t>BATUMI_A_OLDBATUMI</t>
  </si>
  <si>
    <t>BATUMI_A_EUROPESQUARE</t>
  </si>
  <si>
    <t>BATUMI_A_BATUMIPIAZZA</t>
  </si>
  <si>
    <t>BATUMI_A_BATUMIBOULEVARD</t>
  </si>
  <si>
    <t>BATUMI_A_ALIANDNINO</t>
  </si>
  <si>
    <t>BATUMI_A_ALPHABETICTOWER</t>
  </si>
  <si>
    <t>BATUMI_A_MIRACLEPARK</t>
  </si>
  <si>
    <t>BATUMI_A_ARGOCABLECAR</t>
  </si>
  <si>
    <t>BATUMI_A_BATUMIBOTANICALGARDEN</t>
  </si>
  <si>
    <t>BATUMI_A_GONIOFORTRESS</t>
  </si>
  <si>
    <t>BATUMI_A_BATUMIDOLPHINARIUM</t>
  </si>
  <si>
    <t>BATUMI_A_BATUMILIGHTHOUSE</t>
  </si>
  <si>
    <t>BATUMI_A_MTIRALANATIONALPARK</t>
  </si>
  <si>
    <t>BATUMI_A_BLACKSEABEACHES</t>
  </si>
  <si>
    <t>Tbilisi — Pricing Rules</t>
  </si>
  <si>
    <t>Gudauri — Pricing Rules</t>
  </si>
  <si>
    <t>Tbilisi</t>
  </si>
  <si>
    <t>Gudauri</t>
  </si>
  <si>
    <t>GUDAURI_A_SKIAREA</t>
  </si>
  <si>
    <t>GUDAURI_A_NEWGUDAURI</t>
  </si>
  <si>
    <t>GUDAURI_A_GONDOLA</t>
  </si>
  <si>
    <t>GUDAURI_A_KOBIGUDAURICABLECAR</t>
  </si>
  <si>
    <t>GUDAURI_A_KUDEBIMOUNTAIN</t>
  </si>
  <si>
    <t>GUDAURI_A_SADZELEMOUNTAIN</t>
  </si>
  <si>
    <t>GUDAURI_A_BIDARAMOUNTAIN</t>
  </si>
  <si>
    <t>GUDAURI_A_SNOWPARK</t>
  </si>
  <si>
    <t>GUDAURI_A_FREERIDEAREA</t>
  </si>
  <si>
    <t>GUDAURI_A_FRIENDSHIPMONUMENT</t>
  </si>
  <si>
    <t>GUDAURI_A_PANORAMAVIEWPOINT</t>
  </si>
  <si>
    <t>GUDAURI_A_JVARIPASS</t>
  </si>
  <si>
    <t>GUDAURI_A_PARAGLIDING</t>
  </si>
  <si>
    <t>TBILISI_A_OLDTBILISI</t>
  </si>
  <si>
    <t>TBILISI_A_NARIKALAFORTRESS</t>
  </si>
  <si>
    <t>GUDAURI_A_GEORGIANMILITARYROAD</t>
  </si>
  <si>
    <t>GUDAURI_A_WHITE_RABBIT_PARK</t>
  </si>
  <si>
    <t>TBILISI_A_ABANOTUBANISULFURBATHS</t>
  </si>
  <si>
    <t>GUDAURI_A_MOUNTAINBIKEROUTES</t>
  </si>
  <si>
    <t>TBILISI_A_SAMEBACATHEDRAL</t>
  </si>
  <si>
    <t>TBILISI_A_BRIDGEOFPEACE</t>
  </si>
  <si>
    <t>TBILISI_A_MTATSMINDA</t>
  </si>
  <si>
    <t>TBILISI_A_RUSTAVELIAVENUE</t>
  </si>
  <si>
    <t>TBILISI_A_FREEDOMSQUARE</t>
  </si>
  <si>
    <t>TBILISI_A_TBILISIBOTANICALGARDEN</t>
  </si>
  <si>
    <t>TBILISI_A_KARTLISDEDA</t>
  </si>
  <si>
    <t>TBILISI_A_GEORGIAN_NATIONAL_MUSEUM</t>
  </si>
  <si>
    <t>TBILISI_A_METEKHICHURCH</t>
  </si>
  <si>
    <t>Uplistsikhe — Pricing Rules</t>
  </si>
  <si>
    <t>Uplistsikhe</t>
  </si>
  <si>
    <t>Gori — Pricing Rules</t>
  </si>
  <si>
    <t>Gori</t>
  </si>
  <si>
    <t>UPLISTSIKHE_A_CAVETOWN</t>
  </si>
  <si>
    <t>UPLISTSIKHE_A_INNERCITY</t>
  </si>
  <si>
    <t>UPLISTSIKHE_A_MAINSTREET</t>
  </si>
  <si>
    <t>UPLISTSIKHE_A_QUEENTAMARHALL</t>
  </si>
  <si>
    <t>UPLISTSIKHE_A_THEATRE</t>
  </si>
  <si>
    <t>UPLISTSIKHE_A_MAKVLIANITEMPLE</t>
  </si>
  <si>
    <t>UPLISTSIKHE_A_PILLAREDHALL</t>
  </si>
  <si>
    <t>UPLISTSIKHE_A_THREENAVEBASILICA</t>
  </si>
  <si>
    <t>UPLISTSIKHE_A_UPLISTSULISEKLESIA</t>
  </si>
  <si>
    <t>UPLISTSIKHE_A_PAGANTEMPLES</t>
  </si>
  <si>
    <t>UPLISTSIKHE_A_PHARMACY</t>
  </si>
  <si>
    <t>UPLISTSIKHE_A_WINEPRESSESANDCELLARS</t>
  </si>
  <si>
    <t>UPLISTSIKHE_A_SECRETTUNNEL</t>
  </si>
  <si>
    <t>UPLISTSIKHE_A_DEFENSIVEWALLS</t>
  </si>
  <si>
    <t>UPLISTSIKHE_A_MTKVARIRIVERVIEWPOINT</t>
  </si>
  <si>
    <t>UPLISTSIKHE_A_ARCHAEOLOGICALMUSEUM</t>
  </si>
  <si>
    <t>GORI_A_GORIFORTRESS</t>
  </si>
  <si>
    <t>GORI_A_STALINMUSEUM</t>
  </si>
  <si>
    <t>GORI_A_HISTORICALETHNOGRAPHICMUSEUM</t>
  </si>
  <si>
    <t>GORI_A_UPLISTSIKHE</t>
  </si>
  <si>
    <t>GORI_A_ATENISIONI</t>
  </si>
  <si>
    <t>GORI_A_ATENIFORTRESS</t>
  </si>
  <si>
    <t>GORI_A_GORISJVARICHURCH</t>
  </si>
  <si>
    <t>GORI_A_ATENIVALLEY</t>
  </si>
  <si>
    <t>GORI_A_BIISIWATERFALL</t>
  </si>
  <si>
    <t>GORI_A_CULTUREANDRELAXATIONPARK</t>
  </si>
  <si>
    <t>GORI_A_GORICATHEDRAL</t>
  </si>
  <si>
    <t>GORI_A_GORITHEATRE</t>
  </si>
  <si>
    <t>Shamakhi — Pricing Rules</t>
  </si>
  <si>
    <t>Shamakhi</t>
  </si>
  <si>
    <t>Azerbaijan</t>
  </si>
  <si>
    <t>AZN</t>
  </si>
  <si>
    <t>AZN→Local FX</t>
  </si>
  <si>
    <t>Baku — Pricing Rules</t>
  </si>
  <si>
    <t>Baku</t>
  </si>
  <si>
    <t>SHAMAKHI_A_JUMAMOSQUE</t>
  </si>
  <si>
    <t>SHAMAKHI_A_YEDDIGUMBAZ</t>
  </si>
  <si>
    <t>SHAMAKHI_A_SHAMAKHIASTROPHYSICALOBSERVATORY</t>
  </si>
  <si>
    <t>SHAMAKHI_A_PIRGULU</t>
  </si>
  <si>
    <t>BAKU_A_ICHERISHEHER</t>
  </si>
  <si>
    <t>SHAMAKHI_A_SHAMAKHISAFARIPARK</t>
  </si>
  <si>
    <t>SHAMAKHI_A_ALPACAFARM</t>
  </si>
  <si>
    <t>BAKU_A_MAIDENTOWER</t>
  </si>
  <si>
    <t>SHAMAKHI_A_MEYSARIWINERY</t>
  </si>
  <si>
    <t>SHAMAKHI_A_GULUSTANFORTRESS</t>
  </si>
  <si>
    <t>BAKU_A_SHIRVANSHAHSPALACE</t>
  </si>
  <si>
    <t>BAKU_A_BAKUBOULEVARD</t>
  </si>
  <si>
    <t>SHAMAKHI_A_BUGHURTFORTRESS</t>
  </si>
  <si>
    <t>BAKU_A_FLAMETOWERS</t>
  </si>
  <si>
    <t>SHAMAKHI_A_KELEKHANATOMBS</t>
  </si>
  <si>
    <t>BAKU_A_HIGHLANDPARK</t>
  </si>
  <si>
    <t>SHAMAKHI_A_SHAHKHANDANTOMB</t>
  </si>
  <si>
    <t>BAKU_A_HEYDARALIYEVCENTER</t>
  </si>
  <si>
    <t>SHAMAKHI_A_SABIRHOUSEMUSEUM</t>
  </si>
  <si>
    <t>BAKU_A_NIZAMISTREET</t>
  </si>
  <si>
    <t>SHAMAKHI_A_DIRIBABAMAUSOLEUM</t>
  </si>
  <si>
    <t>BAKU_A_FOUNTAINSQUARE</t>
  </si>
  <si>
    <t>BAKU_A_AZERBAIJANCARPETMUSEUM</t>
  </si>
  <si>
    <t>SHAMAKHI_A_PIRGULUDEMIRCHICORRIDOR</t>
  </si>
  <si>
    <t>BAKU_A_MINIVENICE</t>
  </si>
  <si>
    <t>SHAMAKHI_A_CAUCASUSMOUNTAINVIEWS</t>
  </si>
  <si>
    <t>BAKU_A_BAKUEYE</t>
  </si>
  <si>
    <t>SHAMAKHI_A_STARGAZING</t>
  </si>
  <si>
    <t>BAKU_A_ATESHGAHFIRETEMPLE</t>
  </si>
  <si>
    <t>SHAMAKHI_A_SHIRVANSHAHHERITAGE</t>
  </si>
  <si>
    <t>BAKU_A_YANARDAG</t>
  </si>
  <si>
    <t>BAKU_A_GOBUSTANROCKART</t>
  </si>
  <si>
    <t>SHAMAKHI_A_MOUNTAINHIKING</t>
  </si>
  <si>
    <t>BAKU_A_MUDVOLCANOES</t>
  </si>
  <si>
    <t>SHAMAKHI_A_WILDLIFESAFARI</t>
  </si>
  <si>
    <t>BAKU_A_YASHILBAZAAR</t>
  </si>
  <si>
    <t>BAKU_A_PORTBAKU</t>
  </si>
  <si>
    <t>SHAMAKHI_A_VINEYARDANDEXPERIENCES</t>
  </si>
  <si>
    <t>BAKU_A_ABSHERONCOAST</t>
  </si>
  <si>
    <t>BAKU_A_BIBIHEYBATMOSQUE</t>
  </si>
  <si>
    <t>Gabala — Pricing Rules</t>
  </si>
  <si>
    <t>Gabala</t>
  </si>
  <si>
    <t>Samarkand — Pricing Rules</t>
  </si>
  <si>
    <t>Samarkand</t>
  </si>
  <si>
    <t>Uzbekistan</t>
  </si>
  <si>
    <t>UZS</t>
  </si>
  <si>
    <t>UZS→Local FX</t>
  </si>
  <si>
    <t>SAMARKAND_A_REGISTAN</t>
  </si>
  <si>
    <t>GABALA_A_TUFANDAGMOUNTAINRESORT</t>
  </si>
  <si>
    <t>SAMARKAND_A_BIBIKHANUM_SIAB_HAZRATKHIZR</t>
  </si>
  <si>
    <t>GABALA_A_TUFANDAGCABLECAR</t>
  </si>
  <si>
    <t>SAMARKAND_A_SHAHIZINDA_AFRASIAB</t>
  </si>
  <si>
    <t>SAMARKAND_A_GUREAMIR_RUKHABAD</t>
  </si>
  <si>
    <t>GABALA_A_NOHURLAKE</t>
  </si>
  <si>
    <t>SAMARKAND_A_ULUGHBEGOBSERVATORY_AFRASIAB</t>
  </si>
  <si>
    <t>GABALA_A_YEDDIGOZELWATERFALL</t>
  </si>
  <si>
    <t>SAMARKAND_A_SILKROADSAMARKAND_ETERNALCITY</t>
  </si>
  <si>
    <t>GABALA_A_LAZAWATERFALLS</t>
  </si>
  <si>
    <t>SAMARKAND_A_KONIGIL_CRAFTAREA</t>
  </si>
  <si>
    <t>SAMARKAND_A_IMAMALBUKHARI_PAYARIK</t>
  </si>
  <si>
    <t>GABALA_A_OLDGABALA</t>
  </si>
  <si>
    <t>SAMARKAND_A_OHALIK_OKBUYRO_MIRANKUL</t>
  </si>
  <si>
    <t>GABALA_A_GABALAARCHAEOLOGICALCENTRE</t>
  </si>
  <si>
    <t>SAMARKAND_A_URGUT_MARKETCRAFT</t>
  </si>
  <si>
    <t>GABALA_A_NIJVILLAGE</t>
  </si>
  <si>
    <t>SAMARKAND_A_SHAKHRISABZ_HERITAGE</t>
  </si>
  <si>
    <t>GABALA_A_CHOTARICHURCH</t>
  </si>
  <si>
    <t>SAMARKAND_A_SHAKHRISABZ_SILKROAD_CORRIDOR</t>
  </si>
  <si>
    <t>GABALA_A_GABALAND</t>
  </si>
  <si>
    <t>GABALA_A_GABALASHOOTINGCLUB</t>
  </si>
  <si>
    <t>GABALA_A_SAVALANWINERY</t>
  </si>
  <si>
    <t>Tashkent — Pricing Rules</t>
  </si>
  <si>
    <t>Tashkent</t>
  </si>
  <si>
    <t>TASHKENT_A_KHASTIMAMCOMPLEX</t>
  </si>
  <si>
    <t>TASHKENT_A_CHORSUBAZAAR</t>
  </si>
  <si>
    <t>TASHKENT_A_KUKELDASHMADRASAH</t>
  </si>
  <si>
    <t>TASHKENT_A_AMIRTIMURSQUARE</t>
  </si>
  <si>
    <t>TASHKENT_A_INDEPENDENCESQUARE</t>
  </si>
  <si>
    <t>TASHKENT_A_TASHKENTMETRO</t>
  </si>
  <si>
    <t>TASHKENT_A_MINOR_MOSQUE</t>
  </si>
  <si>
    <t>TASHKENT_A_TASHKENTTVTOWER</t>
  </si>
  <si>
    <t>TASHKENT_A_MUSEUMOFAPPLIEDARTS</t>
  </si>
  <si>
    <t>TASHKENT_A_BOTANICALGARDEN</t>
  </si>
  <si>
    <t>Almaty — Pricing Rules</t>
  </si>
  <si>
    <t>TASHKENT_A_CHIMGAN</t>
  </si>
  <si>
    <t>TASHKENT_A_BELDERSAY</t>
  </si>
  <si>
    <t>TASHKENT_A_AMIRSOYMOUNTAINRESORT</t>
  </si>
  <si>
    <t>Almaty</t>
  </si>
  <si>
    <t>Kazakhstan</t>
  </si>
  <si>
    <t>TASHKENT_A_CHARVAKRESERVOIR</t>
  </si>
  <si>
    <t>KZT</t>
  </si>
  <si>
    <t>KZT→Local FX</t>
  </si>
  <si>
    <t>ALMATY_A_PANFILOVPARK</t>
  </si>
  <si>
    <t>ALMATY_A_ASCENSIONCATHEDRAL</t>
  </si>
  <si>
    <t>ALMATY_A_GREENBAZAAR</t>
  </si>
  <si>
    <t>ALMATY_A_ARBAT</t>
  </si>
  <si>
    <t>ALMATY_A_KOKTOBE</t>
  </si>
  <si>
    <t>ALMATY_A_MEDEU</t>
  </si>
  <si>
    <t>ALMATY_A_SHYMBULAKMOUNTAINRESORT</t>
  </si>
  <si>
    <t>ALMATY_A_BOTANICALGARDEN</t>
  </si>
  <si>
    <t>ALMATY_A_BIGALMATYLAKE</t>
  </si>
  <si>
    <t>ALMATY_A_OIQARAGAI</t>
  </si>
  <si>
    <t>ALMATY_A_CHARYNCANYON</t>
  </si>
  <si>
    <t>ALMATY_A_KOLSAYLAKES</t>
  </si>
  <si>
    <t>Kok Tobe — Pricing Rules</t>
  </si>
  <si>
    <t>Kok Tobe</t>
  </si>
  <si>
    <t>Bishkek — Pricing Rules</t>
  </si>
  <si>
    <t>Bishkek</t>
  </si>
  <si>
    <t>Kyrgyztan</t>
  </si>
  <si>
    <t>KOKTOBE_A_KOKTOBEPARK</t>
  </si>
  <si>
    <t>KGS</t>
  </si>
  <si>
    <t>KGS→Local FX</t>
  </si>
  <si>
    <t>KOKTOBE_A_KOKTOBECABLECAR</t>
  </si>
  <si>
    <t>KOKTOBE_A_PANORAMICVIEWPOINTS</t>
  </si>
  <si>
    <t>KOKTOBE_A_BEATLESMONUMENT</t>
  </si>
  <si>
    <t>KOKTOBE_A_FERRISWHEEL</t>
  </si>
  <si>
    <t>KOKTOBE_A_FASTCOASTER</t>
  </si>
  <si>
    <t>KOKTOBE_A_FAMILYAMUSEMENTRIDES</t>
  </si>
  <si>
    <t>KOKTOBE_A_MINIZOO</t>
  </si>
  <si>
    <t>KOKTOBE_A_LOVERSALLEY</t>
  </si>
  <si>
    <t>BISHKEK_A_ALA_TOO_SQUARE</t>
  </si>
  <si>
    <t>KOKTOBE_A_REPUBLICPALACE_CABLECARBASE</t>
  </si>
  <si>
    <t>Kolkata — Pricing Rules</t>
  </si>
  <si>
    <t>BISHKEK_A_OSH_BAZAAR</t>
  </si>
  <si>
    <t>BISHKEK_A_PANFILOV_PARK</t>
  </si>
  <si>
    <t>BISHKEK_A_VICTORY_SQUARE</t>
  </si>
  <si>
    <t>BISHKEK_A_STATE_HISTORY_MUSEUM</t>
  </si>
  <si>
    <t>BISHKEK_A_DUBOVY_PARK</t>
  </si>
  <si>
    <t>BISHKEK_A_SOVIET_BISHKEK_AREA</t>
  </si>
  <si>
    <t>BISHKEK_A_DORDOI_MARKET</t>
  </si>
  <si>
    <t>BISHKEK_A_ALA_ARCHA_DAY_TRIP</t>
  </si>
  <si>
    <t>BISHKEK_A_BURANA_TOWER</t>
  </si>
  <si>
    <t>BISHKEK_A_ALA_ARCHA_CHUNKURCHAK_REGION</t>
  </si>
  <si>
    <t>Kolkata</t>
  </si>
  <si>
    <t>BISHKEK_A_VORONTSOVKA_CHONKEMIN_CORRIDOR</t>
  </si>
  <si>
    <t>India</t>
  </si>
  <si>
    <t>BISHKEK_A_KASHKA_SUU_SKI_AREA</t>
  </si>
  <si>
    <t>INR</t>
  </si>
  <si>
    <t>INR→Local FX</t>
  </si>
  <si>
    <t>BISHKEK_A_CRAFT_FOLK_VILLAGE</t>
  </si>
  <si>
    <t>BISHKEK_A_CAFE_DINING_DISTRICT</t>
  </si>
  <si>
    <t>BISHKEK_A_NATIONAL_SYMBOLIC_AREA</t>
  </si>
  <si>
    <t>CCU_A_VICTORIA_MEMORIAL_MAIDAN_ST_PAULS_CATHEDRAL</t>
  </si>
  <si>
    <t>CCU_A_HOWRAH_BRIDGE_FLOWER_MARKET_FERRY_HOOGHLY_RIVER</t>
  </si>
  <si>
    <t>CCU_A_DAKSHINESWAR_KALI_TEMPLE_12_SHIVA_HOOGHLY_FERRY</t>
  </si>
  <si>
    <t>CCU_A_KALIGHAT_KALI_TEMPLE_SHAKTI_PEETHA</t>
  </si>
  <si>
    <t>CCU_A_BELUR_MATH_RAMAKRISHNA_MISSION_HOOGHLY_FERRY</t>
  </si>
  <si>
    <t>CCU_A_KUMARTULI_IDOL_MAKERS_DURGA_PUJA_CLAY_IDOLS_PHOTOGRAPHY</t>
  </si>
  <si>
    <t>CCU_A_COLLEGE_STREET_BOI_PARA_LARGEST_BOOK_MARKET_INDIA_BOOKS</t>
  </si>
  <si>
    <t>CCU_A_PARK_STREET_RESTAURANTS_BARS_CAFES_FLURYS_PETER_CAT_MOCAMBO_TRINCAS</t>
  </si>
  <si>
    <t>CCU_A_NEW_MARKET_ESPLANADE_SHOPPING_GARIAHAT_SAREE_HANDLOOM</t>
  </si>
  <si>
    <t>Ranikhet — Pricing Rules</t>
  </si>
  <si>
    <t>CCU_A_MOTHER_HOUSE_MOTHER_TERESA</t>
  </si>
  <si>
    <t>CCU_A_JORASANKO_TAGORE_HOUSE</t>
  </si>
  <si>
    <t>CCU_A_MARBLE_PALACE</t>
  </si>
  <si>
    <t>CCU_A_INDIAN_MUSEUM</t>
  </si>
  <si>
    <t>Ranikhet</t>
  </si>
  <si>
    <t>CCU_A_SCIENCE_CITY</t>
  </si>
  <si>
    <t>CCU_A_ECO_PARK</t>
  </si>
  <si>
    <t>CCU_A_ALIPORE_ZOO</t>
  </si>
  <si>
    <t>CCU_A_BIRLA_PLANETARIUM</t>
  </si>
  <si>
    <t>CCU_A_NICCO_PARK</t>
  </si>
  <si>
    <t>CCU_A_PRINCEP_GHAT_SUNSET_HOOGHLY_RIVER_CRUISE</t>
  </si>
  <si>
    <t>CCU_A_SOUTH_PARK_STREET_CEMETERY</t>
  </si>
  <si>
    <t>CCU_A_FORT_WILLIAM</t>
  </si>
  <si>
    <t>CCU_A_WRITERS_BUILDING</t>
  </si>
  <si>
    <t>CCU_A_EDEN_GARDENS</t>
  </si>
  <si>
    <t>CCU_A_BOTANICAL_GARDEN_HOWRAH</t>
  </si>
  <si>
    <t>RANIKHET_A_RANIKHET CANTONMENT &amp; MAIN TOWN</t>
  </si>
  <si>
    <t>RANIKHET_A_CHAUBATIA &amp; ORCHARD BELT</t>
  </si>
  <si>
    <t>RANIKHET_A_UPAT &amp; KALIKA BELT</t>
  </si>
  <si>
    <t>Alleppey — Pricing Rules</t>
  </si>
  <si>
    <t>RANIKHET_A_MAJHKALI &amp; ALMORA ROAD</t>
  </si>
  <si>
    <t>RANIKHET_A_JHULA DEVI &amp; TEMPLE BELT</t>
  </si>
  <si>
    <t>Alleppey</t>
  </si>
  <si>
    <t>RANIKHET_A_DORAN VALLEY &amp; FOREST OUTSKIRTS</t>
  </si>
  <si>
    <t>RANIKHET_A_BINSAR MAHADEV &amp; DEODAR FOREST</t>
  </si>
  <si>
    <t>RANIKHET_A_DWARAHAT TEMPLE BELT</t>
  </si>
  <si>
    <t>RANIKHET_A_MAJHKALI VIEWPOINTS</t>
  </si>
  <si>
    <t>RANIKHET_A_BHALU DAM &amp; FOREST ZONE</t>
  </si>
  <si>
    <t>RANIKHET_A_TARIKHET VILLAGE &amp; RURAL BELT</t>
  </si>
  <si>
    <t>ALLEPPEY_A_BACKWATERS</t>
  </si>
  <si>
    <t>ALLEPPEY_A_HOUSEBOATS</t>
  </si>
  <si>
    <t>ALLEPPEY_A_BEACH</t>
  </si>
  <si>
    <t>ALLEPPEY_A_LIGHTHOUSE</t>
  </si>
  <si>
    <t>ALLEPPEY_A_PIER</t>
  </si>
  <si>
    <t>ALLEPPEY_A_PUNNAMADA_LAKE</t>
  </si>
  <si>
    <t>ALLEPPEY_A_NEHRU_TROPHY_BOAT_RACE</t>
  </si>
  <si>
    <t>Ranthambore — Pricing Rules</t>
  </si>
  <si>
    <t>ALLEPPEY_A_MARARI_BEACH</t>
  </si>
  <si>
    <t>ALLEPPEY_A_KRISHNAPURAM_PALACE</t>
  </si>
  <si>
    <t>ALLEPPEY_A_AMBALAPPUZHA_TEMPLE</t>
  </si>
  <si>
    <t>Ranthambore</t>
  </si>
  <si>
    <t>RANTHAMBORE_A_RANTHAMBORE NATIONAL PARK</t>
  </si>
  <si>
    <t>RANTHAMBORE_A_RANTHAMBORE FORT</t>
  </si>
  <si>
    <t>RANTHAMBORE_A_TRINETRA GANESH TEMPLE</t>
  </si>
  <si>
    <t>RANTHAMBORE_A_PADAM TALAO</t>
  </si>
  <si>
    <t>RANTHAMBORE_A_RAJ BAGH RUINS</t>
  </si>
  <si>
    <t>RANTHAMBORE_A_MALIK TALAO</t>
  </si>
  <si>
    <t>RANTHAMBORE_A_KACHIDA VALLEY</t>
  </si>
  <si>
    <t>RANTHAMBORE_A_SURWAL LAKE</t>
  </si>
  <si>
    <t>RANTHAMBORE_A_SHILPGRAM SAWAI MADHOPUR</t>
  </si>
  <si>
    <t>RANTHAMBORE_A_RANTHAMBORE SCHOOL OF ART</t>
  </si>
  <si>
    <t>RANTHAMBORE_A_DASTKAR RANTHAMBORE</t>
  </si>
  <si>
    <t>RANTHAMBORE_A_MANSAROVAR DAM &amp; WETLAND</t>
  </si>
  <si>
    <t>Jammu-Katra — Pricing Rules</t>
  </si>
  <si>
    <t>Jammu-Katra</t>
  </si>
  <si>
    <t>JAMMU_KATRA_A_KATRA TOWN &amp; BUS STAND CORRIDOR (THE BASE CAMP &amp; YATRA HUB)</t>
  </si>
  <si>
    <t>JAMMU_KATRA_A_BANGANGA &amp; TARAKOTE MARG (THE SACRED TREK ENTRY ZONES)</t>
  </si>
  <si>
    <t>JAMMU_KATRA_A_SANJHICHHAT &amp; BHAWAN COMPLEX (THE HIGH-ALTITUDE SACRED SHRINE)</t>
  </si>
  <si>
    <t>JAMMU_KATRA_A_JAMMU CITY / OLD TOWN &amp; RAGHUNATH BAZAAR (THE CULTURAL &amp; TRANSIT GATEWAY)</t>
  </si>
  <si>
    <t>JAMMU_KATRA_A_PATNITOP &amp; SANASAR (THE SCENIC MOUNTAIN RETREAT)</t>
  </si>
  <si>
    <t>Leh — Pricing Rules</t>
  </si>
  <si>
    <t>Leh</t>
  </si>
  <si>
    <t>Omkareshwar — Pricing Rules</t>
  </si>
  <si>
    <t>Omkareshwar</t>
  </si>
  <si>
    <t>LEH_A_LEH MAIN BAZAAR &amp; OLD TOWN (THE CULTURAL &amp; COMMERCIAL HEART)</t>
  </si>
  <si>
    <t>LEH_A_CHANGSPA &amp; SANKAR (THE TRANQUIL BACKPACKER &amp; BOUTIQUE enclave)</t>
  </si>
  <si>
    <t>LEH_A_CHOGLAMSAR &amp; SHEY CORRIDOR (THE RIVERFRONT MONASTIC &amp; HERITAGE BELT)</t>
  </si>
  <si>
    <t>LEH_A_SPITUK &amp; AIRPORT PERIPHERY (THE CONVENIENT TRANSIT &amp; PANORAMIC HUB)</t>
  </si>
  <si>
    <t>OMKARESHWAR_A_OMKARESHWAR_TEMPLE</t>
  </si>
  <si>
    <t>OMKARESHWAR_A_MAMLESHWAR_TEMPLE</t>
  </si>
  <si>
    <t>OMKARESHWAR_A_SIDDHANATH_TEMPLE</t>
  </si>
  <si>
    <t>OMKARESHWAR_A_GAURI_SOMNATH_TEMPLE</t>
  </si>
  <si>
    <t>OMKARESHWAR_A_KEDARESHWAR_TEMPLE</t>
  </si>
  <si>
    <t>OMKARESHWAR_A_GOVINDA_BHAGAVATPADA_CAVES</t>
  </si>
  <si>
    <t>OMKARESHWAR_A_EKATMA_DHAM_STATUE_OF_ONENESS</t>
  </si>
  <si>
    <t>OMKARESHWAR_A_NARMADA_KAVERI_SANGAM</t>
  </si>
  <si>
    <t>OMKARESHWAR_A_KOTI_TIRTHA_GHAT</t>
  </si>
  <si>
    <t>OMKARESHWAR_A_MAMLESHWAR_SETU</t>
  </si>
  <si>
    <t>OMKARESHWAR_A_FANASE_GHAT</t>
  </si>
  <si>
    <t>OMKARESHWAR_A_PESHWA_GHAT</t>
  </si>
  <si>
    <t>OMKARESHWAR_A_KAJAL_RANI_CAVE</t>
  </si>
  <si>
    <t>Guwahati — Pricing Rules</t>
  </si>
  <si>
    <t>OMKARESHWAR_A_24_AVATARS</t>
  </si>
  <si>
    <t>Guwahati</t>
  </si>
  <si>
    <t>GUWAHATI_A_KAMAKHYA TEMPLE</t>
  </si>
  <si>
    <t>GUWAHATI_A_UMANANDA TEMPLE</t>
  </si>
  <si>
    <t>GUWAHATI_A_ASSAM STATE MUSEUM</t>
  </si>
  <si>
    <t>GUWAHATI_A_SRIMANTA SANKARDEVA KALAKSHETRA</t>
  </si>
  <si>
    <t>GUWAHATI_A_BRAHMAPUTRA HERITAGE CENTRE</t>
  </si>
  <si>
    <t>GUWAHATI_A_DEEPOR BEEL</t>
  </si>
  <si>
    <t>GUWAHATI_A_ASSAM STATE ZOO &amp; BOTANICAL GARDEN</t>
  </si>
  <si>
    <t>GUWAHATI_A_NAVAGRAHA TEMPLE</t>
  </si>
  <si>
    <t>GUWAHATI_A_GUWAHATI WAR CEMETERY</t>
  </si>
  <si>
    <t>GUWAHATI_A_REGIONAL SCIENCE CENTRE</t>
  </si>
  <si>
    <t>GUWAHATI_A_FANCY BAZAAR</t>
  </si>
  <si>
    <t>GUWAHATI_A_SUALKUCHI</t>
  </si>
  <si>
    <t>Sundarbans — Pricing Rules</t>
  </si>
  <si>
    <t>Sundarbans</t>
  </si>
  <si>
    <t>Thiruvananthapuram — Pricing Rules</t>
  </si>
  <si>
    <t>Thiruvananthapuram</t>
  </si>
  <si>
    <t>SDB_A_SAJNEKHALI_TIGER_RESERVE + TIGER_RESERVE_INTERPRETATION_CENTRE + WATCH_TOWER</t>
  </si>
  <si>
    <t>SDB_A_SUDHANYAKHALI_WATCH_TOWER_TIGER_BEST_SIGHTING</t>
  </si>
  <si>
    <t>SDB_A_DOBANKI_CANOPY_WALK + WATCH_TOWER_FAMOUS</t>
  </si>
  <si>
    <t>SDB_A_NETIDHOPANI_WATCH_TOWER + BURIR_DABRI_BANGLADESH_BORDER_WATCH_TOWER</t>
  </si>
  <si>
    <t>SDB_A_ROYAL_BENGAL_TIGER + MANGROVE_FOREST_LARGEST_WORLD_10000_SQ_KM + UNESCO_WORLD_HERITAGE_1987 + BIOSPHERE_RESERVE + TIGER_RESERVE + NARROW_CREEKS + VILLAGES + HONEY + TRIBAL + BON_BIBI + CROCODILES + DOLPHINS + 300+_BIRDS + BOAT_CRUISE + BAY_OF_BENGAL</t>
  </si>
  <si>
    <t>TRV_A_EAST_FORT</t>
  </si>
  <si>
    <t>TRV_A_PALAYAM</t>
  </si>
  <si>
    <t>TRV_A_KOVALAM</t>
  </si>
  <si>
    <t>TRV_A_POOVAR</t>
  </si>
  <si>
    <t>TRV_A_SHANGHUMUGHAM</t>
  </si>
  <si>
    <t>TRV_A_PONMUDI_NEYYAR</t>
  </si>
  <si>
    <t>TRV_A_VARKALA</t>
  </si>
  <si>
    <t>TRV_A_AKKULAM_VELI</t>
  </si>
  <si>
    <t>TRV_A_ATTUKAL_KARIKKAKOM</t>
  </si>
  <si>
    <t>TRV_A_KOWDIAR_KANAKAKUNNU</t>
  </si>
  <si>
    <t>TRV_A_PADMANABHAPURAM_KANYAKUMARI</t>
  </si>
  <si>
    <t>TRV_A_KALLAR_MEENMUTTY</t>
  </si>
  <si>
    <t>TRV_A_THIRUVALLAM_VELLAYANI</t>
  </si>
  <si>
    <t>Amarnath — Pricing Rules</t>
  </si>
  <si>
    <t>Amarnath</t>
  </si>
  <si>
    <t>AMARNATH_A_Pahalgam &amp; Nunwan Base Camp (THE TRADITIONAL VALLEY &amp; TRANSIT START)</t>
  </si>
  <si>
    <t>AMARNATH_A_Chandanwari (THE ROADHEAD &amp; TREK LAUNCHPAD)</t>
  </si>
  <si>
    <t>AMARNATH_A_Sheshnag &amp; Mahagunas Pass (THE HIGH-ALTITUDE MOUNTAIN STAGE)</t>
  </si>
  <si>
    <t>AMARNATH_A_Baltal &amp; Neelgrath (THE EXPRESS BASE &amp; HELIPAD HUB)</t>
  </si>
  <si>
    <t>AMARNATH_A_Panchtarni (THE HIGH MEADOW &amp; CONVERGENCE JUNCTION)</t>
  </si>
  <si>
    <t>AMARNATH_A_Amarnath Holy Cave Shrine / Gufa (THE SACRED SANCTUM)</t>
  </si>
  <si>
    <t>Bengaluru — Pricing Rules</t>
  </si>
  <si>
    <t>Bengaluru</t>
  </si>
  <si>
    <t>Agra — Pricing Rules</t>
  </si>
  <si>
    <t>Shimla — Pricing Rules</t>
  </si>
  <si>
    <t>Agra</t>
  </si>
  <si>
    <t>Shimla</t>
  </si>
  <si>
    <t>BLR_A_LALBAGH_BOTANICAL_GARDEN_GLASS_HOUSE_FLOWER_SHOW + CUBBON_PARK_TOY_TRAIN + VIDHAN_SOUDHA_PHOTO_NIGHT</t>
  </si>
  <si>
    <t>BLR_A_BANGALORE_PALACE_TUDOR + TIPU_SULTAN_SUMMER_PALACE + BANGALORE_FORT + ISKCON_TEMPLE_BIGGEST + BULL_TEMPLE_BIG_NANDI</t>
  </si>
  <si>
    <t>BLR_A_MG_ROAD_BRIGADE_COMMERCIAL_STREET_SHOPPING + UB_CITY_LUXURY_MALL_ROOFTOP + VISVESVARAYA_MUSEUM + HAL_MUSEUM</t>
  </si>
  <si>
    <t>BLR_A_INDIRANAGAR_100FT_TOIT_BREWERY_ARBOR_PECOS + KORAMANGALA_PUBS_CAFES + VV_PURAM_FOOD_STREET_DOSA</t>
  </si>
  <si>
    <t>BLR_A_NANDI_HILLS_SUNRISE_4_30_AM + TIPU_DROP + FORT + CYCLING + PARAGLIDING + BREAKFAST</t>
  </si>
  <si>
    <t>BLR_A_WONDERLA_AMUSEMENT_PARK_WATER_LAND + BANNERGHATTA_ZOO_SAFARI_TIGER_LION_BEAR + BUTTERFLY_PARK</t>
  </si>
  <si>
    <t>BLR_A_ULSOOR_LAKE_BOATING + HAL_MUSEUM + JAWAHARLAL_NEHRU_PLANETARIUM + INNOVATIVE_FILM_CITY + ISKCON</t>
  </si>
  <si>
    <t>SHIMLA_A_THE RIDGE &amp; MALL ROAD</t>
  </si>
  <si>
    <t>BLR_A_SKANDAGIRI_NIGHT_TREK_SUNRISE + RAMANAGARA_SHOLAY_ROCKS_TREK + TURAHALLI_FOREST + SAVANDURGA_HILL</t>
  </si>
  <si>
    <t>SHIMLA_A_LAKKAR BAZAAR</t>
  </si>
  <si>
    <t>AGRA_A_TAJ_MAHAL_TAJGANJ_CORE</t>
  </si>
  <si>
    <t>SHIMLA_A_JAKHOO HILL &amp; JAKHOO TEMPLE</t>
  </si>
  <si>
    <t>SHIMLA_A_CHHOTA SHIMLA &amp; BROCKHURST</t>
  </si>
  <si>
    <t>SHIMLA_A_VICEREGAL LODGE / OBSERVATORY HILL / SUMMER HILL</t>
  </si>
  <si>
    <t>AGRA_A_AGRA_FORT_MUGHAL_CORE</t>
  </si>
  <si>
    <t>SHIMLA_A_ANNANDALE &amp; ARMY HERITAGE MUSEUM AREA</t>
  </si>
  <si>
    <t>SHIMLA_A_SANJAULI</t>
  </si>
  <si>
    <t>SHIMLA_A_TARA DEVI &amp; SOUTHERN SHIMLA HILLS</t>
  </si>
  <si>
    <t>SHIMLA_A_KUFRI</t>
  </si>
  <si>
    <t>AGRA_A_MEHTAB_BAGH_YAMUNA_CORE</t>
  </si>
  <si>
    <t>SHIMLA_A_MASHOBRA</t>
  </si>
  <si>
    <t>SHIMLA_A_NALDEHRA</t>
  </si>
  <si>
    <t>AGRA_A_ITIMAD_UD_DAULAH_CORE</t>
  </si>
  <si>
    <t>AGRA_A_SIKANDRA_AKBAR_TOMB_CORE</t>
  </si>
  <si>
    <t>AGRA_A_FATEHPUR_SIKRI_CORE</t>
  </si>
  <si>
    <t>AGRA_A_RAM_BAGH_MUGHAL_GARDEN_CORE</t>
  </si>
  <si>
    <t>AGRA_A_CHINI_KA_RAUZA_CORE</t>
  </si>
  <si>
    <t>AGRA_A_SOOR_SAROVAR_NATURE_CORE</t>
  </si>
  <si>
    <t>AGRA_A_OLD_AGRA_KINARI_BAZAAR_CORE</t>
  </si>
  <si>
    <t>AGRA_A_SOAMIBAGH_RADHASOAMI_CORE</t>
  </si>
  <si>
    <t>AGRA_A_NATIONAL_CHAMBAL_CORE</t>
  </si>
  <si>
    <t>Madurai — Pricing Rules</t>
  </si>
  <si>
    <t>Madurai</t>
  </si>
  <si>
    <t>MADURAI_A_MEENAKSHIAMMANTEMPLE</t>
  </si>
  <si>
    <t>MADURAI_A_THIRUMALAINAYAKPALACE</t>
  </si>
  <si>
    <t>MADURAI_A_GANDHIMEMORIALMUSEUM</t>
  </si>
  <si>
    <t>MADURAI_A_THIRUPPARANKUNDRAMTEMPLE</t>
  </si>
  <si>
    <t>MADURAI_A_KOODALAZHAGARTEMPLE</t>
  </si>
  <si>
    <t>MADURAI_A_MARIAMMANTEPPAKULAM</t>
  </si>
  <si>
    <t>MADURAI_A_ALAGARKOVIL</t>
  </si>
  <si>
    <t>MADURAI_A_PAALAMEDU</t>
  </si>
  <si>
    <t>MADURAI_A_KEELADIMUSEUM</t>
  </si>
  <si>
    <t>MADURAI_A_SAMANARHILLS</t>
  </si>
  <si>
    <t>MADURAI_A_PUTHUMANDAPAM</t>
  </si>
  <si>
    <t>MADURAI_A_THIRUMOHURKALAMEGAPERUMALTEMPLE</t>
  </si>
  <si>
    <t>Haridwar — Pricing Rules</t>
  </si>
  <si>
    <t>Ooty — Pricing Rules</t>
  </si>
  <si>
    <t>Haridwar</t>
  </si>
  <si>
    <t>Ooty</t>
  </si>
  <si>
    <t>Bhitarkanika — Pricing Rules</t>
  </si>
  <si>
    <t>Bhitarkanika</t>
  </si>
  <si>
    <t>OOTY_A_OOTYLAKE</t>
  </si>
  <si>
    <t>OOTY_A_BOTANICALGARDEN</t>
  </si>
  <si>
    <t>HARIDWAR_A_HAR KI PAURI (THE SACRED GHAT &amp; HEART OF HARIDWAR)</t>
  </si>
  <si>
    <t>OOTY_A_ROSEGARDEN</t>
  </si>
  <si>
    <t>OOTY_A_DODDABETTAPEAK</t>
  </si>
  <si>
    <t>HARIDWAR_A_KANKHAL (THE ANCIENT TEMPLE &amp; HERITAGE TOWN)</t>
  </si>
  <si>
    <t>OOTY_A_PYKARAFALLS</t>
  </si>
  <si>
    <t>OOTY_A_PYKARALAKE</t>
  </si>
  <si>
    <t>HARIDWAR_A_MOTICHUR &amp; RAIWALA (THE NATURE &amp; WILDLIFE GATEWAY)</t>
  </si>
  <si>
    <t>OOTY_A_AVALANCHELAKE</t>
  </si>
  <si>
    <t>HARIDWAR_A_BUPATWALA &amp; ASHRAM ROAD (THE WELLNESS &amp; PILGRIM HUB)</t>
  </si>
  <si>
    <t>OOTY_A_EMERALDLAKE</t>
  </si>
  <si>
    <t>OOTY_A_NILGIRIMOUNTAINRAILWAY</t>
  </si>
  <si>
    <t>HARIDWAR_A_MANSA DEVI &amp; CHANDI DEVI HILLS (THE CABLE CAR &amp; PANORAMIC BELT)</t>
  </si>
  <si>
    <t>OOTY_A_WENLOCKDOWNS</t>
  </si>
  <si>
    <t>OOTY_A_TEAFATORYMUSEUM</t>
  </si>
  <si>
    <t>OOTY_A_TRIBALMUSEUM</t>
  </si>
  <si>
    <t>BHITARKANIKA_A_DANGAMAL_CORE</t>
  </si>
  <si>
    <t>BHITARKANIKA_A_KHOLA_CREEK_CORE</t>
  </si>
  <si>
    <t>BHITARKANIKA_A_GUPTI_WATERWAY_CORE</t>
  </si>
  <si>
    <t>BHITARKANIKA_A_MANGROVE_CORE</t>
  </si>
  <si>
    <t>BHITARKANIKA_A_CROCODILE_CONSERVATION_CORE</t>
  </si>
  <si>
    <t>BHITARKANIKA_A_BIRDING_HERONRY_CORE</t>
  </si>
  <si>
    <t>BHITARKANIKA_A_NATURE_TRAIL_CORE</t>
  </si>
  <si>
    <t>BHITARKANIKA_A_HABALIKHATI_CORE</t>
  </si>
  <si>
    <t>BHITARKANIKA_A_EKAKULA_CORE</t>
  </si>
  <si>
    <t>BHITARKANIKA_A_KALIBHANJDIHA_CORE</t>
  </si>
  <si>
    <t>BHITARKANIKA_A_KANIKA_ESTUARINE_CORE</t>
  </si>
  <si>
    <t>BHITARKANIKA_A_COASTAL_EXTENSION_CORE</t>
  </si>
  <si>
    <t>Hanle — Pricing Rules</t>
  </si>
  <si>
    <t>Hanle</t>
  </si>
  <si>
    <t>HANLE_A_HANLE VILLAGE &amp; MONASTERY</t>
  </si>
  <si>
    <t>HANLE_A_HANLE DARK SKY RESERVE</t>
  </si>
  <si>
    <t>Chandigarh — Pricing Rules</t>
  </si>
  <si>
    <t>HANLE_A_INDIAN ASTRONOMICAL OBSERVATORY</t>
  </si>
  <si>
    <t>Chandigarh</t>
  </si>
  <si>
    <t>HANLE_A_UMLING LA CORRIDOR</t>
  </si>
  <si>
    <t>HANLE_A_KHALDO VILLAGE BELT</t>
  </si>
  <si>
    <t>HANLE_A_NAGA VILLAGE</t>
  </si>
  <si>
    <t>HANLE_A_PUNGUK VILLAGE</t>
  </si>
  <si>
    <t>HANLE_A_GANG VILLAGE</t>
  </si>
  <si>
    <t>HANLE_A_TSO MORIRI</t>
  </si>
  <si>
    <t>HANLE_A_PANGONG TSO</t>
  </si>
  <si>
    <t>HANLE_A_NYOMA</t>
  </si>
  <si>
    <t>HANLE_A_CHANGTHANG WILDLIFE SANCTUARY</t>
  </si>
  <si>
    <t>CHANDIGARH_A_CAPITOL_COMPLEX_CORE</t>
  </si>
  <si>
    <t>Bolpur — Pricing Rules</t>
  </si>
  <si>
    <t>CHANDIGARH_A_ROCK_GARDEN_CORE</t>
  </si>
  <si>
    <t>CHANDIGARH_A_SUKHNA_LAKE_CORE</t>
  </si>
  <si>
    <t>Bolpur</t>
  </si>
  <si>
    <t>CHANDIGARH_A_GOVERNMENT_MUSEUM_CORE</t>
  </si>
  <si>
    <t>CHANDIGARH_A_ROSE_GARDEN_CORE</t>
  </si>
  <si>
    <t>CHANDIGARH_A_LE_CORBUSIER_JEANNERET_CORE</t>
  </si>
  <si>
    <t>CHANDIGARH_A_PANJAB_UNIVERSITY_CORE</t>
  </si>
  <si>
    <t>CHANDIGARH_A_BIRD_PARK_NATURE_CORE</t>
  </si>
  <si>
    <t>CHANDIGARH_A_SECTOR_17_CORE</t>
  </si>
  <si>
    <t>CHANDIGARH_A_JAPANESE_GARDEN_CORE</t>
  </si>
  <si>
    <t>CHANDIGARH_A_INDUSTRIAL_AREA_AIR_FORCE_CORE</t>
  </si>
  <si>
    <t>CHANDIGARH_A_LEISURE_VALLEY_CORE</t>
  </si>
  <si>
    <t>BOLPUR_A_VISVA_BHARATI_UNESCO_WORLD_HERITAGE_2023_TAGORE_ASHRAM_UNIVERSITY</t>
  </si>
  <si>
    <t>BOLPUR_A_UTTARAYAN_KALA_BHAVANA_SANGEET_BHAVANA_RABINDRA_BHAVAN_MUSEUM</t>
  </si>
  <si>
    <t>BOLPUR_A_SONAJHURI_HAAT_SAT_KHOAI_HAAT_SAT_KHOAI_KOPAI_RIVER_SUNSET_BAUL</t>
  </si>
  <si>
    <t>BOLPUR_A_AMAR_KUTIR_KANTHA_BATIK_HANDLOOM_LEATHER_POTTERY_DOKRA_TERRACOTTA_SHOPPING_BEST</t>
  </si>
  <si>
    <t>BOLPUR_A_POUSH_MELA_DEC_FAMOUS_BASANTA_UTSAV_HOLI_MAR_FAMOUS_TAGORE_BIRTHDAY_MAY</t>
  </si>
  <si>
    <t>BOLPUR_A_KANKALITALA_SHAKTI_PEETHA + DEER_PARK_BALLAVPUR + KOPAI_RIVER + FULLERTON + SHYAMBATI</t>
  </si>
  <si>
    <t>Alipurduar — Pricing Rules</t>
  </si>
  <si>
    <t>Alipurduar</t>
  </si>
  <si>
    <t>Gangtok — Pricing Rules</t>
  </si>
  <si>
    <t>Gangtok</t>
  </si>
  <si>
    <t>Sarahan — Pricing Rules</t>
  </si>
  <si>
    <t>Sarahan</t>
  </si>
  <si>
    <t>APD_A_BUXA_TIGER_RESERVE_760_SQ_KM_JUNGLE_SAFARI_JEEP_$10_$20</t>
  </si>
  <si>
    <t>APD_A_JAYANTI_HILLS + RAJABHATKHAWA + LEPCHAKHA_TREK_4KM + BUXA_FORT + POKHRI_LAKE</t>
  </si>
  <si>
    <t>GTK_A_MG_MARG_MALL_ROAD_KANCHENJUNGA_8586M_VIEW_FAMOUS_BEST_MALL_ROAD_SIKKIM</t>
  </si>
  <si>
    <t>APD_A_JALDAPARA_NATIONAL_PARK_70KM_ELEPHANT_SAFARI_$15_$30_JEEP_SAFARI</t>
  </si>
  <si>
    <t>APD_A_CHILAPATA_FOREST + COOCH_BEHAR_PALACE_40KM + BHUTAN_BORDER_JAIGAON_50KM_PHUNTSHOLING</t>
  </si>
  <si>
    <t>GTK_A_ENCHEY_MONASTERY + RUMTEK_MONASTERY + DO_DRUL_CHORTEN + NAMGYAL_INSTITUTE_OF_TIBETOLOGY</t>
  </si>
  <si>
    <t>APD_A_BHUTAN_GATE + TRIBAL_VILLAGES + BIRD_WATCHING + RIVER_RAFTING + FOREST + JUNGLE + ELEPHANTS + TIGERS + LEOPARDS + BISON</t>
  </si>
  <si>
    <t>GTK_A_BANJHAKRI_FALLS + ROPEWAY + GANESH_TOK + HANUMAN_TOK + TASHI_VIEW_POINT + FLOWER_EXHIBITION + HIMALAYAN_ZOOLOGICAL_PARK</t>
  </si>
  <si>
    <t>GTK_A_Tsomgo_Lake_12400ft_40km + NATHU_LA_PASS_CHINA_BORDER_56km_14140ft + BABA_MANDIR_FAMOUS_BEST_LAKE_SIKKIM_BEST_PASS_SIKKIM</t>
  </si>
  <si>
    <t>GTK_A_LACHUNG_120KM + YUMTHANG_VALLEY + ZERO_POINT + LACHEN_120KM + GURUDONGMAR_LAKE_17800ft + ZULUK + NATHANG_VALLEY + RAVANGLA + PELLING + TEESTA_RAFTING + PARAGLIDING + TREKKING</t>
  </si>
  <si>
    <t>SAH_A_BHIMAKALI_TEMPLE_51_SHAKTI_PEETH_WOODEN_ARCHITECTURE_800_YEARS_OLD_MUST</t>
  </si>
  <si>
    <t>SAH_A_BHIMAKALI_PALACE_MUSEUM_RAMPUR_BUSHAHR_HISTORY_FORMER_CAPITAL</t>
  </si>
  <si>
    <t>SAH_A_BIRD_PHEASANTRY_JUJURANA_PHEASANT_MONAL_WESTERN_TRAGOPAN_BIRD_SANCTUARY</t>
  </si>
  <si>
    <t>SAH_A_SHRIKHAND_MAHADEV_VIEW_5155M_APPLE_ORCHARDS_SUTLEJ_VALLEY_DEODAR</t>
  </si>
  <si>
    <t>SAH_A_JEORI_15KM_LAST_MARKET_KINNAUR + KARCHHAM_60KM_SANGLA_CHITKUL_KALPA_DIVERSION + RECKONG_PEO_75KM_DISTRICT_HQ + KALPA_80KM_KINNER_KAILASH_VIEW + SANGLA_90KM_BASPA_VALLEY + CHITKUL_115KM_LAST_VILLAGE_INDIA</t>
  </si>
  <si>
    <t>Jabalpur — Pricing Rules</t>
  </si>
  <si>
    <t>Jabalpur</t>
  </si>
  <si>
    <t>JABALPUR_A_BHEDAGHAT_MARBLE_ROCKS</t>
  </si>
  <si>
    <t>JABALPUR_A_DHUANDHAR_FALLS</t>
  </si>
  <si>
    <t>JABALPUR_A_CHAUSATH_YOGINI_TEMPLE</t>
  </si>
  <si>
    <t>JABALPUR_A_MADAN_MAHAL_FORT</t>
  </si>
  <si>
    <t>JABALPUR_A_BALANCING_ROCK</t>
  </si>
  <si>
    <t>JABALPUR_A_GWARIGHAT</t>
  </si>
  <si>
    <t>JABALPUR_A_RANI_DURGAVATI_MUSEUM</t>
  </si>
  <si>
    <t>JABALPUR_A_DUMNA_NATURE_RESERVE</t>
  </si>
  <si>
    <t>JABALPUR_A_BARGI_DAM</t>
  </si>
  <si>
    <t>JABALPUR_A_KACHNAR_CITY_SHIVA_STATUE</t>
  </si>
  <si>
    <t>JABALPUR_A_TILWARA_GHAT</t>
  </si>
  <si>
    <t>JABALPUR_A_PISANHARI_KI_MADIYA</t>
  </si>
  <si>
    <t>JABALPUR_A_HANUMANTAL_JAIN_TEMPLE</t>
  </si>
  <si>
    <t>JABALPUR_A_SANGRAM_SAGAR</t>
  </si>
  <si>
    <t>Jodhpur — Pricing Rules</t>
  </si>
  <si>
    <t>Jodhpur</t>
  </si>
  <si>
    <t>JODHPUR_A_MEHRANGARH FORT</t>
  </si>
  <si>
    <t>JODHPUR_A_JASWANT THADA</t>
  </si>
  <si>
    <t>Jaisalmer — Pricing Rules</t>
  </si>
  <si>
    <t>JODHPUR_A_UMAID BHAWAN PALACE</t>
  </si>
  <si>
    <t>Jaisalmer</t>
  </si>
  <si>
    <t>JODHPUR_A_MANDORE GARDENS</t>
  </si>
  <si>
    <t>Chikkaballapur — Pricing Rules</t>
  </si>
  <si>
    <t>JODHPUR_A_RAO JODHA DESERT ROCK PARK</t>
  </si>
  <si>
    <t>JODHPUR_A_TOORJI KA JHALRA</t>
  </si>
  <si>
    <t>JODHPUR_A_CLOCK TOWER &amp; SARDAR MARKET</t>
  </si>
  <si>
    <t>Chikkaballapur</t>
  </si>
  <si>
    <t>JODHPUR_A_KAYLANA LAKE</t>
  </si>
  <si>
    <t>JODHPUR_A_MACHIA BIOLOGICAL PARK</t>
  </si>
  <si>
    <t>JODHPUR_A_GUDA BISHNOI VILLAGE</t>
  </si>
  <si>
    <t>JODHPUR_A_OSIAN</t>
  </si>
  <si>
    <t>JODHPUR_A_SALAWAS VILLAGE</t>
  </si>
  <si>
    <t>JAISALMER_A_JAISALMER FORT</t>
  </si>
  <si>
    <t>JAISALMER_A_PATWON KI HAVELI</t>
  </si>
  <si>
    <t>JAISALMER_A_NATHMAL KI HAVELI</t>
  </si>
  <si>
    <t>JAISALMER_A_SALIM SINGH KI HAVELI</t>
  </si>
  <si>
    <t>JAISALMER_A_GADISAR LAKE</t>
  </si>
  <si>
    <t>JAISALMER_A_BADA BAGH</t>
  </si>
  <si>
    <t>JAISALMER_A_KULDHARA</t>
  </si>
  <si>
    <t>JAISALMER_A_SAM SAND DUNES</t>
  </si>
  <si>
    <t>JAISALMER_A_KHURI SAND DUNES</t>
  </si>
  <si>
    <t>JAISALMER_A_DESERT NATIONAL PARK</t>
  </si>
  <si>
    <t>JAISALMER_A_AMAR SAGAR</t>
  </si>
  <si>
    <t>JAISALMER_A_LODURVA</t>
  </si>
  <si>
    <t>CBP_A_NANDI_HILLS_SUNRISE_6_AM_CLOUD_BED_TIPU_DROP_YOGA_NANDEESHWARA_1478M</t>
  </si>
  <si>
    <t>CBP_A_BHOGA_NANDEESHWARA_TEMPLE_1000YR_CHOLA_HOYSALA_VIJAYANAGARA_ARUNACHALESHWARA</t>
  </si>
  <si>
    <t>CBP_A_SKANDAGIRI_NIGHT_TREK_CLOUD_TREK_SUNRISE_1350M_PAPAGNI_TEMPLE_8KM</t>
  </si>
  <si>
    <t>CBP_A_ADIYOGI_ISHA_112FT_SHIVA_LIGHT_SHOW_7_PM_NANDI_FOOTHILLS_MEDITATION</t>
  </si>
  <si>
    <t>CBP_A_GUDIBANDE_FORT_MONOLITH_400YR_7_LEVELS_SHIVA_TEMPLE_VIEW_30KM</t>
  </si>
  <si>
    <t>CBP_A_KALAVARA_DURGA_TREK_3KM_FORT_TEMPLE_VIEW_NEAR_SKANDAGIRI</t>
  </si>
  <si>
    <t>CBP_A_MUDDENAHALLI_VISVESVARAYA_MUSEUM_HOUSE_15KM_NEAR_NANDI_BHOGA</t>
  </si>
  <si>
    <t>CBP_A_LEPAKSHI_VEERABHADRA_TEMPLE_HANGING_PILLAR_MONOLITHIC_NANDI_27FT_30KM</t>
  </si>
  <si>
    <t>CBP_A_NANDI_CYCLING_PARAGLIDING_ZIP_LINE_AWAHALLI_AMRUTH_SAROVAR</t>
  </si>
  <si>
    <t>Pachmari — Pricing Rules</t>
  </si>
  <si>
    <t>Pachmari</t>
  </si>
  <si>
    <t>Visakhapatnam — Pricing Rules</t>
  </si>
  <si>
    <t>Visakhapatnam</t>
  </si>
  <si>
    <t>VTZ_A_RK_BEACH + BEACH_ROAD_PROMENADE + SUBMARINE_MUSEUM_INS_KURSURA + AIRCRAFT_MUSEUM_TU_142 + AQUARIUM</t>
  </si>
  <si>
    <t>VTZ_A_KAILASAGIRI_HILL_PARK + ROPEWAY + SHIVA_PARVATI + TITANIC_VIEW + SUNSET</t>
  </si>
  <si>
    <t>VTZ_A_RUSHIKONDA_BEACH_BLUE_FLAG + WATER_SPORTS + YARADA_BEACH + DOLPHINS_NOSE_LIGHTHOUSE</t>
  </si>
  <si>
    <t>VTZ_A_SIMHACHALAM_TEMPLE_HILLTOP + INDIRA_GANDHI_ZOO + TENNETI_PARK</t>
  </si>
  <si>
    <t>VTZ_A_BHEEMILI_BEACH + THOTLAKONDA_BUDDHIST + BAVIKONDA</t>
  </si>
  <si>
    <t>VTZ_A_ARAKU_VALLEY + TRIBAL_MUSEUM + COFFEE_MUSEUM + COFFEE_PLANTATIONS + ANANTHAGIRI</t>
  </si>
  <si>
    <t>VTZ_A_BORRA_CAVES_150M_YR_LIMESTONE + KATIKI_WATERFALLS_TREK + GALIKONDA_VIEW_POINT + TYDA_JUNGLE</t>
  </si>
  <si>
    <t>VTZ_A_VISTADOME_TRAIN_VIZAG_ARAKU_GLASS_TOP + BAMBOO_CHICKEN_ARAKU + LAMBASINGI_AP_KASHMIR</t>
  </si>
  <si>
    <t>VTZ_A_KOTAPALLI_WATERFALLS + CHAPARAI + PADERU</t>
  </si>
  <si>
    <t>PACHMARHI_A_DHOOPGARH</t>
  </si>
  <si>
    <t>PACHMARHI_A_BEE_FALLS</t>
  </si>
  <si>
    <t>PACHMARHI_A_JATA_SHANKAR_CAVE</t>
  </si>
  <si>
    <t>PACHMARHI_A_PANDAVA_CAVES</t>
  </si>
  <si>
    <t>PACHMARHI_A_HANDI_KHOH</t>
  </si>
  <si>
    <t>PACHMARHI_A_APSARA_VIHAR</t>
  </si>
  <si>
    <t>PACHMARHI_A_RAJAT_PRAPAT</t>
  </si>
  <si>
    <t>PACHMARHI_A_CHAURAGARH_TEMPLE</t>
  </si>
  <si>
    <t>PACHMARHI_A_SATPURA_NATIONAL_PARK</t>
  </si>
  <si>
    <t>PACHMARHI_A_GUPT_MAHADEV</t>
  </si>
  <si>
    <t>PACHMARHI_A_BISON_LODGE_MUSEUM</t>
  </si>
  <si>
    <t>Dharmshala — Pricing Rules</t>
  </si>
  <si>
    <t>PACHMARHI_A_REECHGARH</t>
  </si>
  <si>
    <t>PACHMARHI_A_RAJENDRAGIRI</t>
  </si>
  <si>
    <t>Dharmshala</t>
  </si>
  <si>
    <t>PACHMARHI_A_PACHMARHI_LAKE</t>
  </si>
  <si>
    <t>DHARAMSHALA_A_MCLEOD GANJ</t>
  </si>
  <si>
    <t>DHARAMSHALA_A_DHARAMKOT</t>
  </si>
  <si>
    <t>DHARAMSHALA_A_BHAGSU / BHAGSUNAG</t>
  </si>
  <si>
    <t>DHARAMSHALA_A_NADDIL</t>
  </si>
  <si>
    <t>DHARAMSHALA_A_CENTRAL DHARAMSHALA (LOWER DHARAMSHALA)</t>
  </si>
  <si>
    <t>Hyderabad — Pricing Rules</t>
  </si>
  <si>
    <t>DHARAMSHALA_A_DAL LAKE AREA</t>
  </si>
  <si>
    <t>DHARAMSHALA_A_UPPER DHARAMSHALA / ADMINISTRATIVE SIDE</t>
  </si>
  <si>
    <t>DHARAMSHALA_A_KANGRA VALLEY SIDE (DAY-TRIP ZONE)</t>
  </si>
  <si>
    <t>DHARAMSHALA_A_TRIUND / TREK ROUTE BASE AREAS</t>
  </si>
  <si>
    <t>Hyderabad</t>
  </si>
  <si>
    <t>HYD_A_CHARMINAR_1591 + LAAD_BAZAAR_BANGLES + MECCA_MASJID + NIMRAH_CAFE_IRANI_CHAI</t>
  </si>
  <si>
    <t>HYD_A_CHOWMAHALLA_PALACE_NIZAM + SALAR_JUNG_MUSEUM_VEILED_REBECCA + SHAH_GHOUSE_HALIM + SHADAB_BIRYANI</t>
  </si>
  <si>
    <t>HYD_A_HUSSAIN_SAGAR_BUDDHA_STATUE + LUMBINI_PARK_BOAT + NTR_GARDENS + BIRLA_MANDIR_SUNSET + BIRLA_PLANETARIUM</t>
  </si>
  <si>
    <t>HYD_A_GOLCONDA_FORT_CLAP + LIGHT_SOUND_SHOW + QUTB_SHAHI_TOMBS_HERITAGE_PARK + TARAMATI_BARADARI</t>
  </si>
  <si>
    <t>HYD_A_RAMOJI_FILM_CITY_WORLDS_LARGEST + BAHUBALI_SET + MOVIE_MAGIC + BUS_TOUR + BIRD_PARK</t>
  </si>
  <si>
    <t>Narkanda — Pricing Rules</t>
  </si>
  <si>
    <t>HYD_A_BANJARA_HILLS_JUBILEE_HILLS + SHILPARAMAM_CRAFTS_VILLAGE + GVK_ONE_MALL + DURGAM_CHERUVU_CABLE_BRIDGE</t>
  </si>
  <si>
    <t>Narkanda</t>
  </si>
  <si>
    <t>HYD_A_TAJ_FALAKNUMA_PALACE_HIGH_TEA + CHOMAHALLA_HIGH_TEA + PEARLS_LAD_BAZAAR_JAGADAMBA_PEARLS</t>
  </si>
  <si>
    <t>Thekkady — Pricing Rules</t>
  </si>
  <si>
    <t>HYD_A_SANGHI_TEMPLE + CHILKUR_BALAJI_VISA_TEMPLE + ANANTHAGIRI_HILLS_80KM + OSMAN_SAGAR + SHAMIRPET_LAKE + SNOW_WORLD</t>
  </si>
  <si>
    <t>Thekkady</t>
  </si>
  <si>
    <t>NRK_A_HATU_PEAK_3400M_HATU_MATA_TEMPLE_360_HIMALAYAN_VIEWS_SUNSET_TREK_7KM_JEEP</t>
  </si>
  <si>
    <t>NRK_A_TANI_JUBBAR_LAKE_BOATING_MEADOWS_DEODAR_NAG_TEMPLE_10KM</t>
  </si>
  <si>
    <t>NRK_A_KOTGARH_APPLE_VALLEY_THANEDAR_CHURCH_STOKES_FARM_APPLE_PICKING_JUL_AUG</t>
  </si>
  <si>
    <t>THEKKADY_PERIYAR_WILDLIFE_SANCTUARY</t>
  </si>
  <si>
    <t>NRK_A_NARKANDA_SKIING_SLOPES_JAN_FEB_SKIING_SNOWBOARDING_SNOW_PLAYING_2KM_MARKET</t>
  </si>
  <si>
    <t>THEKKADY_PERIYAR_LAKE_BOAT_SAFARI</t>
  </si>
  <si>
    <t>NRK_A_DEODAR_FOREST_MEADOWS_SATLJ_VALLEY_VIEWS_APPLE_ORCHARDS_HIMALAYAN_VIEWS</t>
  </si>
  <si>
    <t>THEKKADY_SPICE_PLANTATION_TOURS</t>
  </si>
  <si>
    <t>THEKKADY_GUIDED_NATURE_WALK</t>
  </si>
  <si>
    <t>THEKKADY_BAMBOO_RAFTING</t>
  </si>
  <si>
    <t>THEKKADY_MURICKADY_VIEWPOINT</t>
  </si>
  <si>
    <t>THEKKADY_GAVI_FOREST_TREK</t>
  </si>
  <si>
    <t>THEKKADY_MANGALA_DEVI_TEMPLE</t>
  </si>
  <si>
    <t>THEKKADY_KADATHANADAN_KALARI_CENTER</t>
  </si>
  <si>
    <t>THEKKADY_ELEPHANT_JUNCTION</t>
  </si>
  <si>
    <t>Manali — Pricing Rules</t>
  </si>
  <si>
    <t>Manali</t>
  </si>
  <si>
    <t>MANALI_A_MALL ROAD &amp; MANALI MARKET</t>
  </si>
  <si>
    <t>MANALI_A_OLD MANALI</t>
  </si>
  <si>
    <t>MANALI_A_VASHISHT VILLAGE</t>
  </si>
  <si>
    <t>MANALI_A_ALEO</t>
  </si>
  <si>
    <t>MANALI_A_SOLANG VALLEY</t>
  </si>
  <si>
    <t>MANALI_A_ATAL TUNNEL – SISSU ROUTE</t>
  </si>
  <si>
    <t>MANALI_A_NAGGAR</t>
  </si>
  <si>
    <t>MANALI_A_KULLU</t>
  </si>
  <si>
    <t>Tawang — Pricing Rules</t>
  </si>
  <si>
    <t>Tawang</t>
  </si>
  <si>
    <t>TAWANG_A_TAWANG MONASTERY</t>
  </si>
  <si>
    <t>Adi Kailash — Pricing Rules</t>
  </si>
  <si>
    <t>Adi Kailash</t>
  </si>
  <si>
    <t>TAWANG_A_SELA PASS &amp; SELA LAKE</t>
  </si>
  <si>
    <t>TAWANG_A_BUM LA PASS</t>
  </si>
  <si>
    <t>TAWANG_A_SANGETSAR LAKE</t>
  </si>
  <si>
    <t>TAWANG_A_NURANANG FALLS</t>
  </si>
  <si>
    <t>TAWANG_A_TAWANG WAR MEMORIAL</t>
  </si>
  <si>
    <t>TAWANG_A_URGELLING MONASTERY</t>
  </si>
  <si>
    <t>TAWANG_A_P.T. TSO LAKE</t>
  </si>
  <si>
    <t>TAWANG_A_JASWANT GARH WAR MEMORIAL</t>
  </si>
  <si>
    <t>TAWANG_A_GIANT BUDDHA STATUE</t>
  </si>
  <si>
    <t>TAWANG_A_KHINMEY GOMPA</t>
  </si>
  <si>
    <t>TAWANG_A_GORSAM CHORTEN</t>
  </si>
  <si>
    <t>ADI_KAILASH_A_DHARCHULA (THE GATEWAY TRANSIT HUB)</t>
  </si>
  <si>
    <t>ADI_KAILASH_A_GUNJI VILLAGE (THE ACCLIMATIZATION &amp; ROUTE JUNCTION)</t>
  </si>
  <si>
    <t>ADI_KAILASH_A_NABI &amp; KUTI VILLAGES (THE HERITAGE HOMESTAY HUB)</t>
  </si>
  <si>
    <t>ADI_KAILASH_A_JOLINGKONG &amp; PARVATI SAROVAR (ADI KAILASH BASE CAMP)</t>
  </si>
  <si>
    <t>Tabo — Pricing Rules</t>
  </si>
  <si>
    <t>Tabo</t>
  </si>
  <si>
    <t>Kausani — Pricing Rules</t>
  </si>
  <si>
    <t>Kausani</t>
  </si>
  <si>
    <t>TAB_A_TABO_MONASTERY_996_AD_AJANTA_HIMALAYAS_9_TEMPLES_23_CHORTENS_FRESCOES_THANGKAS_UNESCO_TENTATIVE_OLDEST</t>
  </si>
  <si>
    <t>TAB_A_TABO_CAVES_MEDITATION_CAVES_MUD_CAVES_1KM_TREK_BUDDHIST_MONKS_HISTORY</t>
  </si>
  <si>
    <t>TAB_A_SPITI_RIVER_COLD_DESERT_VALLEY_TABO_VILLAGE_OLD_MUD_VILLAGE_HELIPAD_SUNSET</t>
  </si>
  <si>
    <t>TAB_A_DHANKAR_MONASTERY_30KM_FORT_3894M_DHANKAR_LAKE_2KM_TREK_4140M_PIN_VALLEY_50KM_MUDH_KUNGRI</t>
  </si>
  <si>
    <t>TAB_A_KAZA_50KM_KEY_MONASTERY_65KM_KIBBER_70KM_CHICHAM_BRIDGE_LANGZA_BUDDHA_HIKKIM_KOMIC_HIGHEST</t>
  </si>
  <si>
    <t>KAUSANI_A_KAUSANI MAIN TOWN</t>
  </si>
  <si>
    <t>KAUSANI_A_ANASAKTI ASHRAM</t>
  </si>
  <si>
    <t>KAUSANI_A_KAUSANI TEA ESTATE</t>
  </si>
  <si>
    <t>KAUSANI_A_RUDRADHARI FALLS &amp; CAVES</t>
  </si>
  <si>
    <t>KAUSANI_A_PINNATH</t>
  </si>
  <si>
    <t>KAUSANI_A_BAIJNATH</t>
  </si>
  <si>
    <t>KAUSANI_A_BAGESHWAR</t>
  </si>
  <si>
    <t>KAUSANI_A_SOMESHWAR</t>
  </si>
  <si>
    <t>KAUSANI_A_KATARMAL SUN TEMPLE</t>
  </si>
  <si>
    <t>KAUSANI_A_LAKSHMI ASHRAM</t>
  </si>
  <si>
    <t>KAUSANI_A_STARGATE OBSERVATORY</t>
  </si>
  <si>
    <t>KAUSANI_A_SUMITRANANDAN PANT MUSEUM</t>
  </si>
  <si>
    <t>Bhalukpong — Pricing Rules</t>
  </si>
  <si>
    <t>Bhalukpong</t>
  </si>
  <si>
    <t>BHALUKPONG_A_BHALUKPONG FORT</t>
  </si>
  <si>
    <t>BHALUKPONG_A_KAMENG RIVER</t>
  </si>
  <si>
    <t>BHALUKPONG_A_TIPI ORCHID RESEARCH CENTRE</t>
  </si>
  <si>
    <t>BHALUKPONG_A_SESSA ORCHID SANCTUARY</t>
  </si>
  <si>
    <t>BHALUKPONG_A_PAKKE TIGER RESERVE</t>
  </si>
  <si>
    <t>BHALUKPONG_A_SEIJOSA</t>
  </si>
  <si>
    <t>BHALUKPONG_A_EAGLENEST WILDLIFE SANCTUARY</t>
  </si>
  <si>
    <t>BHALUKPONG_A_BOMDILA</t>
  </si>
  <si>
    <t>Nabadwip — Pricing Rules</t>
  </si>
  <si>
    <t>BHALUKPONG_A_DIRANG</t>
  </si>
  <si>
    <t>BHALUKPONG_A_CHILLIPAM MONASTERY</t>
  </si>
  <si>
    <t>BHALUKPONG_A_THEMBANG</t>
  </si>
  <si>
    <t>Nabadwip</t>
  </si>
  <si>
    <t>BHALUKPONG_A_NECHIPU PASS</t>
  </si>
  <si>
    <t>NBAD_A_YOGPEETH_BIRTHPLACE_CHAITANYA_MAHAPRABHU_1486_HOLIEST</t>
  </si>
  <si>
    <t>NBAD_A_SONAR_GOURANGA_GOLD_CHAITANYA</t>
  </si>
  <si>
    <t>NBAD_A_RADHA_VALLABH + PORAMA_TEMPLE_FAMOUS</t>
  </si>
  <si>
    <t>NBAD_A_DHAMESWAR_MAHAPRABHU + DEVANANDA_GAUDIYA_MATH + SAMAJ_BARI</t>
  </si>
  <si>
    <t>NBAD_A_200_TEMPLES + BHAGIRATHI_RIVER_BOAT_SUNSET + FERRY_MAYAPUR_5KM</t>
  </si>
  <si>
    <t>NBAD_A_MAYAPUR_ISKCON_CHANDRODAYA_WORLD’S_LARGEST_TEMPLE_5KM_FERRY</t>
  </si>
  <si>
    <t>NBAD_A_RAAS_FESTIVAL_NOV + DOL_PURNIMA_MAR + GAURA_PURNIMA_FEB_MAR_BIRTHDAY</t>
  </si>
  <si>
    <t>Kochi — Pricing Rules</t>
  </si>
  <si>
    <t>NBAD_A_BALLAL_DHIPI + BAUL + BEHULA + ALATA + KIRTAN_BHAJAN_PARIKRAMA</t>
  </si>
  <si>
    <t>Kochi</t>
  </si>
  <si>
    <t>KOCHI_FORT_KOCHI</t>
  </si>
  <si>
    <t>KOCHI_CHINESE_FISHING_NETS</t>
  </si>
  <si>
    <t>KOCHI_MATTANCHERRY</t>
  </si>
  <si>
    <t>KOCHI_MATTANCHERRY_PALACE</t>
  </si>
  <si>
    <t>KOCHI_SANTA_CRUZ_BASILICA</t>
  </si>
  <si>
    <t>KOCHI_ST_FRANCIS_CHURCH</t>
  </si>
  <si>
    <t>Kodaikanal — Pricing Rules</t>
  </si>
  <si>
    <t>KOCHI_KATHAKALI_CENTRE</t>
  </si>
  <si>
    <t>Kodaikanal</t>
  </si>
  <si>
    <t>KOCHI_MARINE_DRIVE</t>
  </si>
  <si>
    <t>KOCHI_HILL_PALACE</t>
  </si>
  <si>
    <t>KOCHI_KERALA_FOLKLORE_MUSEUM</t>
  </si>
  <si>
    <t>Yusmarg — Pricing Rules</t>
  </si>
  <si>
    <t>KOCHI_WILLINGDON_ISLAND</t>
  </si>
  <si>
    <t>Yusmarg</t>
  </si>
  <si>
    <t>KODAIKANAL_A_KODAIKANALLAKE</t>
  </si>
  <si>
    <t>KODAIKANAL_A_COAKERSWALK</t>
  </si>
  <si>
    <t>KODAIKANAL_A_BRYANTPARK</t>
  </si>
  <si>
    <t>KODAIKANAL_A_PILLARROCKS</t>
  </si>
  <si>
    <t>KODAIKANAL_A_GUNACAVES</t>
  </si>
  <si>
    <t>KODAIKANAL_A_SILVERCASCADE</t>
  </si>
  <si>
    <t>KODAIKANAL_A_BEARSHOLAFALLS</t>
  </si>
  <si>
    <t>KODAIKANAL_A_MOIRPOINT</t>
  </si>
  <si>
    <t>KODAIKANAL_A_GREENVALLEYVIEW</t>
  </si>
  <si>
    <t>KODAIKANAL_A_PINEFOREST</t>
  </si>
  <si>
    <t>KODAIKANAL_A_KODAIKANALOBSERVATORY</t>
  </si>
  <si>
    <t>KODAIKANAL_A_BERIJAMLAKE</t>
  </si>
  <si>
    <t>Kinnaur &amp; Kalpa — Pricing Rules</t>
  </si>
  <si>
    <t>Kinnaur &amp; Kalpa</t>
  </si>
  <si>
    <t>YUSMARG_A_YUSMARG_MEADOW</t>
  </si>
  <si>
    <t>YUSMARG_A_DOODH_GANGA</t>
  </si>
  <si>
    <t>YUSMARG_A_NILNAG_LAKE</t>
  </si>
  <si>
    <t>YUSMARG_A_SANG_E_SAFED_VALLEY</t>
  </si>
  <si>
    <t>YUSMARG_A_HAIGIN_MEADOW</t>
  </si>
  <si>
    <t>KNR_A_KALPA_VILLAGE_2758M_KINNER_KAILASH_SHIVLING_6050M_VIEWS_NARAYAN_NAGINI_ROGHI_SUICIDE_POINT</t>
  </si>
  <si>
    <t>YUSMARG_A_LIDDERMAR_MEADOW</t>
  </si>
  <si>
    <t>YUSMARG_A_TATTA_KUTTI_PEAK</t>
  </si>
  <si>
    <t>KNR_A_SANGLA_VALLEY_40KM_BASPA_RIVER_18KM_BASPA_RIVER_SIDE_CAMPS_MEADOWS_PINE_DEODAR</t>
  </si>
  <si>
    <t>YUSMARG_A_TOSA_MAIDAN</t>
  </si>
  <si>
    <t>YUSMARG_A_CHARAR_E_SHARIEF</t>
  </si>
  <si>
    <t>KNR_A_CHITKUL_LAST_VILLAGE_62KM_KALPA_22KM_SANGLA_3450M_BASPA_RIVER_MEADOWS_LAST_DHABA</t>
  </si>
  <si>
    <t>YUSMARG_A_KHAG_SPRINGS</t>
  </si>
  <si>
    <t>KNR_A_NAKO_LAKE_100KM_MONASTERY_3662M_NAKO_VILLAGE_SPITI_GATEWAY_TABO_65KM_NAKO_KAZA_115KM_NAKO</t>
  </si>
  <si>
    <t>YUSMARG_A_DOODHPATHRI</t>
  </si>
  <si>
    <t>KNR_A_BATSERI_VILLAGE_15KM_SANGLA_RAKCHHAM_VILLAGE_10KM_SANGLA_MEADOWS_PINE_DEODAR_BASPA_RIVER_KAMRU_FORT_1000YR</t>
  </si>
  <si>
    <t>YUSMARG_A_CHARAR_YUSMARG_SCENIC_CORRIDOR</t>
  </si>
  <si>
    <t>YUSMARG_A_YUSMARG_PINE_FOREST_TRAILS</t>
  </si>
  <si>
    <t>YUSMARG_A_YUSMARG_ALPINE_MEADOW_CIRCUIT</t>
  </si>
  <si>
    <t>Puri — Pricing Rules</t>
  </si>
  <si>
    <t>Puri</t>
  </si>
  <si>
    <t>PURI_A_JAGANNATH_BADA_DANDA_CORE</t>
  </si>
  <si>
    <t>PURI_A_BEACH_SWARGADWAR_CORE</t>
  </si>
  <si>
    <t>PURI_A_GOLDEN_BEACH_CORE</t>
  </si>
  <si>
    <t>PURI_A_GUNDICHA_GRAND_ROAD_CORE</t>
  </si>
  <si>
    <t>PURI_A_NARENDRA_TANK_CORE</t>
  </si>
  <si>
    <t>PURI_A_LOKANATH_OLD_CITY_CORE</t>
  </si>
  <si>
    <t>PURI_A_RAGHURAJPUR_CORE</t>
  </si>
  <si>
    <t>PURI_A_KONARK_CORE</t>
  </si>
  <si>
    <t>PURI_A_CHANDRABHAGA_MARINE_DRIVE_CORE</t>
  </si>
  <si>
    <t>PURI_A_RAMACHANDI_CORE</t>
  </si>
  <si>
    <t>PURI_A_SATAPADA_CHILIKA_CORE</t>
  </si>
  <si>
    <t>PURI_A_BALIGHAI_COAST_CORE</t>
  </si>
  <si>
    <t>Mcleod Ganj — Pricing Rules</t>
  </si>
  <si>
    <t>Mcleod Ganj</t>
  </si>
  <si>
    <t>Mysuru — Pricing Rules</t>
  </si>
  <si>
    <t>Mysuru</t>
  </si>
  <si>
    <t>MYS_A_MYSORE_PALACE_WADIYAR + ILLUMINATION_SUNDAY_7_8_PM + DASARA_ILLUMINATION_DAILY + DURBAR_HALL</t>
  </si>
  <si>
    <t>Lachen &amp; Lachung — Pricing Rules</t>
  </si>
  <si>
    <t>MYS_A_CHAMUNDI_HILLS_TEMPLE + BIG_NANDI_4_8M + 1000_STEPS + CITY_VIEW_SUNSET + LALITHA_MAHAL_PALACE_HOTEL_HERITAGE</t>
  </si>
  <si>
    <t>MYS_A_BRINDAVAN_GARDENS_KRS_DAM + MUSICAL_FOUNTAIN_7_8_PM + BOATING + BALMURI_EDMURI_FALLS</t>
  </si>
  <si>
    <t>MYS_A_MYSORE_ZOO_SRI_CHAMARAJENDRA + KARANJI_LAKE_BIRDS_BOATING + KUKKARAHALLI_LAKE + DEVARAJA_MARKET_SILK_SANDALWOOD_MYSORE_PAK + ST_PHILOMENA_CHURCH + JAGANMOHAN_PALACE_ART_GALLERY</t>
  </si>
  <si>
    <t>Lachen &amp; Lachung</t>
  </si>
  <si>
    <t>YS_A_SRIRANGAPATNA_TIPU_SUMMER_PALACE + TIPU_TOMB + RANGANATHASWAMY_TEMPLE + FORT + DARIYA_DAULAT</t>
  </si>
  <si>
    <t>MYS_A_RANGANATHITTU_BIRD_SANCTUARY_BOATING + SOMNATHPUR_HOYSALA_CHENNAKESAVA_TEMPLE_1268 + BALMURI_EDMURI</t>
  </si>
  <si>
    <t>MYS_A_BYLAKUPPE_TIBETAN_GOLDEN_TEMPLE + NAGARHOLE_SAFARI_90KM + BANDIPUR_70KM + CHANNAPATNA_TOYS_60KM</t>
  </si>
  <si>
    <t>MYS_A_MYSORE_SILK_KSIC + SANDALWOOD_OIL_FACTORY + MYSORE_PAK + CHANNAPATNA_TOYS + YOGA_SHALAS_ASHTANGA + GRS_FANTASY_PARK + RAILWAY_MUSEUM</t>
  </si>
  <si>
    <t>MCLEOD_A_MCLEOD GANJ MAIN SQUARE &amp; TEMPLE ROAD</t>
  </si>
  <si>
    <t>MCLEOD_A_TSHUGLAGKHANG &amp; NAMGYAL MONASTERY</t>
  </si>
  <si>
    <t>MCLEOD_A_BHAGSU</t>
  </si>
  <si>
    <t>LL_A_LACHEN_2700M_VILLAGE + LACHEN_MONASTERY</t>
  </si>
  <si>
    <t>MCLEOD_A_DHARAMKOT</t>
  </si>
  <si>
    <t>MCLEOD_A_JOGIWARA ROAD</t>
  </si>
  <si>
    <t>LL_A_GURUDONGMAR_LAKE_17800FT_SACRED_HIGHEST_LAKE_WORLD_ONE_OF_HIGHEST_LAKES_WORLD</t>
  </si>
  <si>
    <t>MCLEOD_A_DAL LAKE &amp; NADDI</t>
  </si>
  <si>
    <t>MCLEOD_A_TRIUND &amp; GALU</t>
  </si>
  <si>
    <t>LL_A_THANGU_VALLEY + CHOPTA_VALLEY</t>
  </si>
  <si>
    <t>MCLEOD_A_LOWER DHARAMSHALA</t>
  </si>
  <si>
    <t>LL_A_LACHUNG_2600M_VILLAGE + LACHUNG_MONASTERY + HOT_SPRINGS</t>
  </si>
  <si>
    <t>MCLEOD_A_ST JOHN IN THE WILDERNESS</t>
  </si>
  <si>
    <t>LL_A_YUMTHANG_VALLEY_11700FT_VALLEY_OF_FLOWERS_FAMOUS + ZERO_POINT_15000FT_YUMESAMDONG + CHOPTA_VALLEY + YAK + SNOW + HIGH_ALTITUDE + ALPINE + BEST_NATURE_NORTH_SIKKIM + BEST_HIGH_ALTITUDE_SIKKIM</t>
  </si>
  <si>
    <t>MCLEOD_A_NORBULINGKA INSTITUTE</t>
  </si>
  <si>
    <t>MCLEOD_A_KANGRA FORT &amp; KANGRA VALLEY</t>
  </si>
  <si>
    <t>MCLEOD_A_BIR–BILLING</t>
  </si>
  <si>
    <t>Srinagar — Pricing Rules</t>
  </si>
  <si>
    <t>Coorg — Pricing Rules</t>
  </si>
  <si>
    <t>Srinagar</t>
  </si>
  <si>
    <t>Coorg</t>
  </si>
  <si>
    <t>MADIKERI CORE + WATERFALLS</t>
  </si>
  <si>
    <t>Ahmedabad — Pricing Rules</t>
  </si>
  <si>
    <t>CRG_A_MADIKERI_TOWN</t>
  </si>
  <si>
    <t>Ahmedabad</t>
  </si>
  <si>
    <t>RAJAS_SEAT_SUNSET_6_PM</t>
  </si>
  <si>
    <t>ABBEY_FALLS_8KM_70FT</t>
  </si>
  <si>
    <t>MADIKERI_FORT</t>
  </si>
  <si>
    <t>OMKARESHWARA_TEMPLE</t>
  </si>
  <si>
    <t>SRINAGAR_A_Dal Lake &amp; Boulevard Road (THE WATERFRONT &amp; TOURISM HUB)</t>
  </si>
  <si>
    <t>COFFEE_PLANTATION_TOUR</t>
  </si>
  <si>
    <t>CRG_A_DUBARE_ELEPHANT_CAMP_BATHING_FEEDING_9_AM</t>
  </si>
  <si>
    <t>SRINAGAR_A_Nigeen Lake &amp; HAZRATBAL (THE SERENE HERITAGE &amp; LAKEFRONT RETREAT)</t>
  </si>
  <si>
    <t>BYLAKUPPE_GOLDEN_TEMPLE_NAMDROLING_40FT_BUDDHA</t>
  </si>
  <si>
    <t>CAUVERY_NISARGADHAMA_ISLAND_BAMBOO</t>
  </si>
  <si>
    <t>CHIKLIHOLE_RESERVOIR</t>
  </si>
  <si>
    <t>SRINAGAR_A_OLD CITY / ZAINAKADAL &amp; RAINAWARI (THE CULTURAL &amp; HERITAGE CORE)</t>
  </si>
  <si>
    <t>CRG_A_TALACAUVERY_CAUVERY_BIRTHPLACE_45KM</t>
  </si>
  <si>
    <t>SRINAGAR_A_Lal Chowk &amp; RESIDENCY ROAD (THE COMMERCIAL &amp; TRANSPORT HUB))</t>
  </si>
  <si>
    <t>BHAGAMANDALA_TRIVENI_SANGAMA</t>
  </si>
  <si>
    <t>SRINAGAR_A_ZABARWAN FOOTHILLS &amp; Nishat Garden (THE MUGHAL GARDENS &amp; NATURE CORRIDOR)</t>
  </si>
  <si>
    <t>IRUPPU_FALLS_75KM_170FT</t>
  </si>
  <si>
    <t>CHELAVARA_FALLS_40KM</t>
  </si>
  <si>
    <t>MALLALLI_FALLS_55KM_200FT</t>
  </si>
  <si>
    <t>CRG_A_TADIANDAMOL_PEAK_1748M_TREK_8KM</t>
  </si>
  <si>
    <t>BRAHMAGIRI_TREK_1608M</t>
  </si>
  <si>
    <t>PUSHPAGIRI_TREK_1712M</t>
  </si>
  <si>
    <t>BARAPOLE_RAFTING</t>
  </si>
  <si>
    <t>NAGARHOLE_SAFARI_90KM</t>
  </si>
  <si>
    <t>AHMEDABAD_A_OLD_CITY_MANEK_CHOWK_CORE</t>
  </si>
  <si>
    <t>NAGARHOLE_TIGER_RESERVE</t>
  </si>
  <si>
    <t>AHMEDABAD_A_BHADRA_SIDI_SAIYYED_CORE</t>
  </si>
  <si>
    <t>AHMEDABAD_A_SABARMATI_ASHRAM_CORE</t>
  </si>
  <si>
    <t>AHMEDABAD_A_SABARMATI_RIVERFRONT_CORE</t>
  </si>
  <si>
    <t>AHMEDABAD_A_KANKARIA_LAKE_CORE</t>
  </si>
  <si>
    <t>AHMEDABAD_A_GUJARAT_SCIENCE_CITY_CORE</t>
  </si>
  <si>
    <t>AHMEDABAD_A_SHAHIBAUG_CALICO_CORE</t>
  </si>
  <si>
    <t>AHMEDABAD_A_HUTHEESING_DADA_HARIR_CORE</t>
  </si>
  <si>
    <t>AHMEDABAD_A_SARKHEJ_ROZA_CORE</t>
  </si>
  <si>
    <t>AHMEDABAD_A_ADALAJ_STEPWELL_CORE</t>
  </si>
  <si>
    <t>AHMEDABAD_A_MODERN_ARCHITECTURE_CORE</t>
  </si>
  <si>
    <t>AHMEDABAD_A_LAW_GARDEN_CG_ROAD_CORE</t>
  </si>
  <si>
    <t>Nainital — Pricing Rules</t>
  </si>
  <si>
    <t>Nainital</t>
  </si>
  <si>
    <t>NAINITAL_A_MALLITAL (NORTHERN LAKE SHORE &amp; CIVIC HUB)</t>
  </si>
  <si>
    <t>NAINITAL_A_TALLITAL (SOUTHERN LAKE SHORE &amp; TRANSIT GATEWAY)</t>
  </si>
  <si>
    <t>NAINITAL_A_AYARPATTA &amp; SNOW VIEW RIDGE (QUIET HILLTOP RETREATS)</t>
  </si>
  <si>
    <t>NAINITAL_A_OUTER LAKES: BHIMTAL, SATTAL &amp; NAUKUCHIATAL (REGIONAL NATURE ZONE)</t>
  </si>
  <si>
    <t>Rameshwaram — Pricing Rules</t>
  </si>
  <si>
    <t>Rameshwaram</t>
  </si>
  <si>
    <t>RAMESHWARAM_A_RAMANATHASWAMYTEMPLE</t>
  </si>
  <si>
    <t>RAMESHWARAM_A_AGNITHEERTHAM</t>
  </si>
  <si>
    <t>RAMESHWARAM_A_DHANUSHKODI</t>
  </si>
  <si>
    <t>RAMESHWARAM_A_PAMBANBRIDGE</t>
  </si>
  <si>
    <t>RAMESHWARAM_A_GANDHAMADANAPARVATHAM</t>
  </si>
  <si>
    <t>RAMESHWARAM_A_APJKALAMMEMORIAL</t>
  </si>
  <si>
    <t>RAMESHWARAM_A_KOTHANDARAMARTEMPLE</t>
  </si>
  <si>
    <t>RAMESHWARAM_A_PANCHMUKHIHANUMAN</t>
  </si>
  <si>
    <t>RAMESHWARAM_A_VILLOONDITHEERTHAM</t>
  </si>
  <si>
    <t>RAMESHWARAM_A_ARICHALMUNAI</t>
  </si>
  <si>
    <t>Purulia — Pricing Rules</t>
  </si>
  <si>
    <t>RAMESHWARAM_A_JADATHEERTHAM</t>
  </si>
  <si>
    <t>RAMESHWARAM_A_RAMARPATHAM</t>
  </si>
  <si>
    <t>Purulia</t>
  </si>
  <si>
    <t>PUR_A_AJODHYA_HILLS_700M_UPPER_DAM_LOWER_DAM_MATHA_BURU_DEER_PARK_FOREST</t>
  </si>
  <si>
    <t>PUR_A_TURGA_FALLS + BAMNI_FALLS_FAMOUS_BEST_FALLS_BENGAL</t>
  </si>
  <si>
    <t>PUR_A_BARANTI_LAKE_SUNSET_FAMOUS_BEST_SUNSET_BENGAL + MURADI_DAM</t>
  </si>
  <si>
    <t>PUR_A_GARH_PANCHKOT_RUINS_PANCHKOT_RAJ + JOYCHANDI_PAHAR</t>
  </si>
  <si>
    <t>PUR_A_MURGUMA_DAM_SUNSET_FAMOUS_BEST_SUNSET_BENGAL</t>
  </si>
  <si>
    <t>PUR_A_CHARIDA_CHHAU_MASK_VILLAGE_UNESCO_BEST_MASKS_INDIA</t>
  </si>
  <si>
    <t>PUR_A_PAKHI_PAHAR + DEULGHATA_TEMPLES + PARA + DUARSINI + PALASH_RED_MAR_APR_FAMOUS_BEST_PHOTOGRAPHY</t>
  </si>
  <si>
    <t>Ayodhya — Pricing Rules</t>
  </si>
  <si>
    <t>Ayodhya</t>
  </si>
  <si>
    <t>AYODHYA_A_RAM_JANMABHOOMI_CORE</t>
  </si>
  <si>
    <t>AYODHYA_A_HANUMAN_GARHI_CORE</t>
  </si>
  <si>
    <t>AYODHYA_A_KANAK_BHAWAN_CORE</t>
  </si>
  <si>
    <t>AYODHYA_A_RAM_KI_PAIDI_SARYU_CORE</t>
  </si>
  <si>
    <t>AYODHYA_A_NAGESHWARNATH_CORE</t>
  </si>
  <si>
    <t>AYODHYA_A_DASHRATH_MAHAL_RAMKOT_CORE</t>
  </si>
  <si>
    <t>AYODHYA_A_GUPTAR_GHAT_CORE</t>
  </si>
  <si>
    <t>AYODHYA_A_SURYAKUND_CORE</t>
  </si>
  <si>
    <t>AYODHYA_A_GULAB_BARI_CORE</t>
  </si>
  <si>
    <t>AYODHYA_A_BAHU_BEGUM_FAIZABAD_CORE</t>
  </si>
  <si>
    <t>AYODHYA_A_MANI_PARVAT_CORE</t>
  </si>
  <si>
    <t>AYODHYA_A_JAIN_SHRINES_CORE</t>
  </si>
  <si>
    <t>Corbett — Pricing Rules</t>
  </si>
  <si>
    <t>Corbett</t>
  </si>
  <si>
    <t>Darjeeling — Pricing Rules</t>
  </si>
  <si>
    <t>Darjeeling</t>
  </si>
  <si>
    <t>CORBETT_A_RAMNAGAR_TOWN</t>
  </si>
  <si>
    <t>CORBETT_A_DHIKULI_DHIKALA_CORRIDOR</t>
  </si>
  <si>
    <t>CORBETT_A_BIJRANI_AMDANDA</t>
  </si>
  <si>
    <t>CORBETT_A_JHIRNA_DHELA</t>
  </si>
  <si>
    <t>CORBETT_A_GARJIA_KOSI_RIVER</t>
  </si>
  <si>
    <t>DAR_A_TIGER_HILL_SUNRISE_4AM_KANCHENJUNGA_8586M_VIEW_FAMOUS_BEST_SUNRISE_INDIA</t>
  </si>
  <si>
    <t>CORBETT_A_DURGADEVI_LOHACHAUR</t>
  </si>
  <si>
    <t>CORBETT_A_SITABANI_FOREST</t>
  </si>
  <si>
    <t>DAR_A_BATASIA_LOOP + GHOOM_MONASTERY + DARJEELING_HIMALAYAN_RAILWAY_UNESCO_TOY_TRAIN_JOYRIDE_2HRS</t>
  </si>
  <si>
    <t>CORBETT_A_CORBETT_FALLS_MOHAN</t>
  </si>
  <si>
    <t>DAR_A_HIMALAYAN_MOUNTAINEERING_INSTITUTE + ZOO + TENZING_NORGAY</t>
  </si>
  <si>
    <t>CORBETT_A_KALADHUNGI_CORBETT_MUSEUM</t>
  </si>
  <si>
    <t>DAR_A_PEACE_PAGODA + JAPANESE_TEMPLE + ROCK_GARDEN + GANGA_MAYA_PARK</t>
  </si>
  <si>
    <t>DAR_A_HAPPY_VALLEY_TEA_ESTATE + 87_TEA_GARDENS + DARJEELING_TEA_GI_TAG_TEA_TASTING_TEA_SHOPPING</t>
  </si>
  <si>
    <t>CORBETT_A_SONANADI_SANCTUARY</t>
  </si>
  <si>
    <t>DAR_A_MALL_ROAD + CHOWRASTA + KEVENTERS + GLENARYS + CHOWK_BAZAAR + WINDAMERE + ELGIN + MAYFAIR + BRITISH_COLONIAL</t>
  </si>
  <si>
    <t>DAR_A_MIRIK_LAKE + PASHUPATI_NEPAL_BORDER + KURSEONG + LAMAHATTA + TINCHULEY + TAKDAH + SANDAKPHU_TREK + PHALUT + PARAGLIDING + TEESTA_RAFTING</t>
  </si>
  <si>
    <t>CORBETT_A_PAKHRO_KALAGARH</t>
  </si>
  <si>
    <t>Kargil — Pricing Rules</t>
  </si>
  <si>
    <t>Kargil</t>
  </si>
  <si>
    <t>KARGIL_A_KARGIL TOWN CENTER &amp; MAIN BAZAAR (THE TRANSIT &amp; CULTURAL HUB)</t>
  </si>
  <si>
    <t>KARGIL_A_DRAS VALLEY &amp; WAR MEMORIAL CORRIDOR (THE HISTORIC PATRIOTIC GATEWAY)</t>
  </si>
  <si>
    <t>KARGIL_A_SURU VALLEY &amp; SANKOO-PARKACHIK CORRIDOR (THE ALPINE ADVENTURE HAVEN)</t>
  </si>
  <si>
    <t>KARGIL_A_MULBEKH &amp; SHERGOL HERITAGE CORRIDOR (THE ANCIENT BUDDHIST CROSSROADS)</t>
  </si>
  <si>
    <t>KARGIL_A_HUNDERMAN HERITAGE VILLAGE &amp; BORDER CORRIDOR (THE LIVING HISTORY MUSEUM)</t>
  </si>
  <si>
    <t>Pahalgam — Pricing Rules</t>
  </si>
  <si>
    <t>Pahalgam</t>
  </si>
  <si>
    <t>PAHALGAM_A_Central Market Zone &amp; Lidder Riverfront (THE CONVENIENCE &amp; LEISURE HUB)</t>
  </si>
  <si>
    <t>PAHALGAM_A_Aru Valley (THE SERENE ALPINE &amp; TREKKING BASE)</t>
  </si>
  <si>
    <t>PAHALGAM_A_Betaab Valley &amp; Chandanwari (THE CINEMATIC &amp; PILGRIMAGE CORRIDOR)</t>
  </si>
  <si>
    <t>PAHALGAM_A_Baisaran &amp; Laripora (THE "MINI SWITZERLAND" &amp; GOLF BELT)</t>
  </si>
  <si>
    <t>Jispa — Pricing Rules</t>
  </si>
  <si>
    <t>Jispa</t>
  </si>
  <si>
    <t>Raipur— Pricing Rules</t>
  </si>
  <si>
    <t>Raipur</t>
  </si>
  <si>
    <t>USD→INR FX</t>
  </si>
  <si>
    <t>Mumbai — Pricing Rules</t>
  </si>
  <si>
    <t>Mumbai</t>
  </si>
  <si>
    <t>JSP_A_JISPA_VILLAGE_LAST_GREEN_LAHUAL_GREEN_MEADOWS_BHAGA_RIVER_SIDE_RIVERSIDE_CAMPS_BONFIRE_MILKY_WAY</t>
  </si>
  <si>
    <t>JSP_A_BHAGA_RIVER_SIDE_NATURE_PHOTOGRAPHY_GREEN_MEADOWS_VALLEY_VIEW</t>
  </si>
  <si>
    <t>JSP_A_PADMASAMBHAVA_STATUE_10KM_GIANT_STATUE_TIBETAN_MUST</t>
  </si>
  <si>
    <t>RAIPUR_A_NANDANVAN_JUNGLE_SAFARI</t>
  </si>
  <si>
    <t>JSP_A_RIVERSIDE_CAMPING_PREMIUM_BASIC_BONFIRE_MILKY_WAY_STAR_GAZING_ZERO_LIGHT_POLLUTION</t>
  </si>
  <si>
    <t>JSP_A_KEYLONG_20KM_DISTRICT_HQ_MARKET_PETROL_ATM_HOSPITAL_LAST_BIG_MARKET_LAHUAL</t>
  </si>
  <si>
    <t>JSP_A_DARCHA_22KM_LAST_CHECK_POST_POLICE_CHECK_BRIDGE_BHAGA_RIVER_SARCHU_LEH_BARALACHA_LA_GATE</t>
  </si>
  <si>
    <t>JSP_A_BARALACHA_LA_90KM_4850M_HIGH_PASS_SURAJ_TAL_60KM_DEEPAK_TAL_50KM_ZINGZING_BAR_PATSEO</t>
  </si>
  <si>
    <t>RAIPUR_A_PURKHAUTI_MUKTANGAN</t>
  </si>
  <si>
    <t>JSP_A_SARCHU_140KM_4290M_TENT_CITY_PANG_LACHULUNG_LA_NAKEE_LA_GATA_LOOPS_TENT_CAMPING</t>
  </si>
  <si>
    <t>JSP_A_LEH_335KM_11_12HR_CAPITAL_LADAKH_TANGLANG_LA_5328M_UPSHI_KARU_LEH</t>
  </si>
  <si>
    <t>RAIPUR_A_MAHANT_GHASI_DAS_MEMORIAL_MUSEUM</t>
  </si>
  <si>
    <t>JSP_A_SURAJ_TAL_60KM_DEEPAK_TAL_50KM_LAKES_BARALACHA_LA</t>
  </si>
  <si>
    <t>RAIPUR_A_VIVEKANANDA_SAROVAR</t>
  </si>
  <si>
    <t>RAIPUR_A_DUDHADHARI_TEMPLE</t>
  </si>
  <si>
    <t>RAIPUR_A_HATKESHWAR_MAHADEV_TEMPLE</t>
  </si>
  <si>
    <t>RAIPUR_A_KANKALI_TALAB</t>
  </si>
  <si>
    <t>RAIPUR_A_VIVEKANANDA_ASHRAM</t>
  </si>
  <si>
    <t>RAIPUR_A_RAJKUMAR_COLLEGE</t>
  </si>
  <si>
    <t>MUMBAI_A_GATEWAY_COLABA_CORE</t>
  </si>
  <si>
    <t>$20.00</t>
  </si>
  <si>
    <t>₹1,900.00</t>
  </si>
  <si>
    <t>MUMBAI_A_ELEPHANTA_CORE</t>
  </si>
  <si>
    <t>$35.00</t>
  </si>
  <si>
    <t>₹3,300.00</t>
  </si>
  <si>
    <t>MUMBAI_A_FORT_CST_CORE</t>
  </si>
  <si>
    <t>$22.00</t>
  </si>
  <si>
    <t>₹2,100.00</t>
  </si>
  <si>
    <t>MUMBAI_A_KALA_GHODA_MUSEUM_CORE</t>
  </si>
  <si>
    <t>$25.00</t>
  </si>
  <si>
    <t>₹2,400.00</t>
  </si>
  <si>
    <t>MUMBAI_A_OVAL_ART_DECO_CORE</t>
  </si>
  <si>
    <t>MUMBAI_A_MARINE_DRIVE_CORE</t>
  </si>
  <si>
    <t>$15.00</t>
  </si>
  <si>
    <t>₹1,400.00</t>
  </si>
  <si>
    <t>MUMBAI_A_MALABAR_HILL_CORE</t>
  </si>
  <si>
    <t>RAIPUR_A_SOLAR_ENERGY_PARK</t>
  </si>
  <si>
    <t>MUMBAI_A_WORLI_MAHALAXMI_CORE</t>
  </si>
  <si>
    <t>₹1,900.01</t>
  </si>
  <si>
    <t>RAIPUR_A_NAGAR_CLOCK_GHADI_CHOWK</t>
  </si>
  <si>
    <t>RAIPUR_A_TOWN_HALL</t>
  </si>
  <si>
    <t>MUMBAI_A_BANDRA_CORE</t>
  </si>
  <si>
    <t>₹2,100.0</t>
  </si>
  <si>
    <t>MUMBAI_A_BYCULLA_CORE</t>
  </si>
  <si>
    <t>$18.00</t>
  </si>
  <si>
    <t>₹1,700.00</t>
  </si>
  <si>
    <t>RAIPUR_A_NAYA_RAIPUR_URBAN_CIRCUIT</t>
  </si>
  <si>
    <t>MUMBAI_A_SANJAY_GANDHI_KANHERI_CORE</t>
  </si>
  <si>
    <t>$30.00</t>
  </si>
  <si>
    <t>₹2,850.00</t>
  </si>
  <si>
    <t>MUMBAI_A_JUHU_CORE</t>
  </si>
  <si>
    <t>Munnar — Pricing Rules</t>
  </si>
  <si>
    <t>Munnar</t>
  </si>
  <si>
    <t>MUNNAR_A_TEA_GARDENS</t>
  </si>
  <si>
    <t>MUNNAR_A_ERAVIKULAM_NATIONAL_PARK</t>
  </si>
  <si>
    <t>MUNNAR_A_MATTUPETTY_DAM</t>
  </si>
  <si>
    <t>MUNNAR_A_KOLUKKUMALAI_TEA_ESTATE</t>
  </si>
  <si>
    <t>MUNNAR_A_POTHAMEDU_VIEW_POINT</t>
  </si>
  <si>
    <t>MUNNAR_A_DEVIKULAM</t>
  </si>
  <si>
    <t>MUNNAR_A_LAKKAM_WATERFALLS</t>
  </si>
  <si>
    <t>MUNNAR_A_CHINNAR_WILDLIFE_SANCTUARY</t>
  </si>
  <si>
    <t>Amritsar — Pricing Rules</t>
  </si>
  <si>
    <t>Amritsar</t>
  </si>
  <si>
    <t>AMRITSAR_A_GOLDEN_TEMPLE_AKAL_TAKHT_CORE</t>
  </si>
  <si>
    <t>AMRITSAR_A_JALLIANWALA_PARTITION_CORE</t>
  </si>
  <si>
    <t>AMRITSAR_A_OLD_CITY_HALL_BAZAAR_CORE</t>
  </si>
  <si>
    <t>AMRITSAR_A_GOBINDGARH_FORT_CORE</t>
  </si>
  <si>
    <t>AMRITSAR_A_DURGIANA_TEMPLE_CORE</t>
  </si>
  <si>
    <t>AMRITSAR_A_RAM_BAGH_RANJIT_SINGH_CORE</t>
  </si>
  <si>
    <t>AMRITSAR_A_RANJIT_AVENUE_MODERN_CITY_CORE</t>
  </si>
  <si>
    <t>AMRITSAR_A_ATTARI_WAGAH_BORDER_CORE</t>
  </si>
  <si>
    <t>AMRITSAR_A_PUL_KANJARI_BORDER_HERITAGE_CORE</t>
  </si>
  <si>
    <t>AMRITSAR_A_LAWRENCE_ROAD_FOOD_CORE</t>
  </si>
  <si>
    <t>AMRITSAR_A_RURAL_PUNJAB_VILLAGE_CORE</t>
  </si>
  <si>
    <t>AMRITSAR_A_PUNJABI_CULINARY_TRAILS_CORE</t>
  </si>
  <si>
    <t>Kasol — Pricing Rules</t>
  </si>
  <si>
    <t>Kasol</t>
  </si>
  <si>
    <t>Daringbadi — Pricing Rules</t>
  </si>
  <si>
    <t>Jaipur — Pricing Rules</t>
  </si>
  <si>
    <t>Daringbadi</t>
  </si>
  <si>
    <t>Jaipur</t>
  </si>
  <si>
    <t>DARINGBADI_A_NATURE_PARK_CORE</t>
  </si>
  <si>
    <t>DARINGBADI_A_PINE_COFFEE_CORE</t>
  </si>
  <si>
    <t>DARINGBADI_A_HILL_VIEW_SUNSET_CORE</t>
  </si>
  <si>
    <t>DARINGBADI_A_WATERFALL_CORE</t>
  </si>
  <si>
    <t>KSL_A_PARVATI_RIVER_SIDE_NATURE_PARK_CHALAL_BRIDGE_FLEA_MARKET_ISRAELI_CAFES</t>
  </si>
  <si>
    <t>DARINGBADI_A_DOLURI_LOVERS_POINT_CORE</t>
  </si>
  <si>
    <t>DARINGBADI_A_RURAL_EMU_CORE</t>
  </si>
  <si>
    <t>DARINGBADI_A_MANDASARU_CORE</t>
  </si>
  <si>
    <t>DARINGBADI_A_BELGHAR_CORE</t>
  </si>
  <si>
    <t>DARINGBADI_A_PUTUDI_CORE</t>
  </si>
  <si>
    <t>JAIPUR_A_AMBER FORT</t>
  </si>
  <si>
    <t>DARINGBADI_A_PHULBANI_CORE</t>
  </si>
  <si>
    <t>KSL_A_MANIKARAN_GURUDWARA_HOT_SPRINGS_LANGAR_HINDU_TEMPLES_5KM</t>
  </si>
  <si>
    <t>DARINGBADI_A_JIRANG_CHANDRAGIRI_CORE</t>
  </si>
  <si>
    <t>DARINGBADI_A_RESORT_VALLEY_CORE</t>
  </si>
  <si>
    <t>JAIPUR_A_CITY PALACE</t>
  </si>
  <si>
    <t>KSL_A_CHALAL_VILLAGE_2KM_BRIDGE_WALK_PARVATI_RIVER_PINE_OFFBEAT_PARTY</t>
  </si>
  <si>
    <t>KSL_A_BARSHANI_16KM_KHEERGANGA_BASE_DAM_PARVATI_RIVER</t>
  </si>
  <si>
    <t>KSL_A_KHEERGANGA_TREK_12KM_2960M_HOT_SPRINGS_CAMPING_MEADOWS_5_6HR_TREK_MUST</t>
  </si>
  <si>
    <t>JAIPUR_A_HAWA MAHAL</t>
  </si>
  <si>
    <t>KSL_A_TOSH_VILLAGE_20KM_2400M_CAFE_PARTY_MEADOWS_KHEERGANGA_VIEW_GLACIER_VIEW_OFFBEAT</t>
  </si>
  <si>
    <t>KSL_A_MALANA_VILLAGE_21KM_ANCIENT_VILLAGE_OLDEST_DEMOCRACY_MALANA_CREAM_CULTURE_2KM_TREK</t>
  </si>
  <si>
    <t>JAIPUR_A_JANTAR MANTAR</t>
  </si>
  <si>
    <t>KSL_A_RASOL_5KM_TREK_VILLAGE + GRAHAN_8KM_TREK_VILLAGE + SAR_PASS_13KM_4200M_5_DAYS_TREK_BASE</t>
  </si>
  <si>
    <t>JAIPUR_A_NAHARGARH FORT</t>
  </si>
  <si>
    <t>JAIPUR_A_JAIGARH FORT</t>
  </si>
  <si>
    <t>JAIPUR_A_JAL MAHAL</t>
  </si>
  <si>
    <t>JAIPUR_A_ALBERT HALL MUSEUM</t>
  </si>
  <si>
    <t>JAIPUR_A_GALTAJI</t>
  </si>
  <si>
    <t>JAIPUR_A_GOVIND DEV JI TEMPLE</t>
  </si>
  <si>
    <t>JAIPUR_A_BIRLA TEMPLE</t>
  </si>
  <si>
    <t>JAIPUR_A_GAITORE</t>
  </si>
  <si>
    <t>JAIPUR_A_SISODIA RANI GARDEN</t>
  </si>
  <si>
    <t>JAIPUR_A_ANOKHI MUSEUM OF HAND PRINTING</t>
  </si>
  <si>
    <t>JAIPUR_A_PATRIKA GATE</t>
  </si>
  <si>
    <t>Bandhavgarh &amp; Kanha — Pricing Rules</t>
  </si>
  <si>
    <t>BANDHAVGARH_A_TALA_ZONE</t>
  </si>
  <si>
    <t>BANDHAVGARH_A_MAGDHI_ZONE</t>
  </si>
  <si>
    <t>BANDHAVGARH_A_KHITAULI_ZONE</t>
  </si>
  <si>
    <t>BANDHAVGARH_A_SHESH_SHAIYA</t>
  </si>
  <si>
    <t>KANHA_A_KANHA_ZONE</t>
  </si>
  <si>
    <t>KANHA_A_KISLI_ZONE</t>
  </si>
  <si>
    <t>KANHA_A_MUKKI_ZONE</t>
  </si>
  <si>
    <t>KANHA_A_SARHI_ZONE</t>
  </si>
  <si>
    <t>KANHA_A_BAMNI_DADAR</t>
  </si>
  <si>
    <t>KANHA_A_KHATIA_BUFFER</t>
  </si>
  <si>
    <t>BANDHAVGARH_A_DHAMOKHAR_BUFFER</t>
  </si>
  <si>
    <t>KANHA_A_MUSEUM</t>
  </si>
  <si>
    <t>BANDHAVGARH_A_FORT_HILL</t>
  </si>
  <si>
    <t>BANDHAVGARH_A_TRIBAL_GOND_VILLAGES</t>
  </si>
  <si>
    <t>Pelling — Pricing Rules</t>
  </si>
  <si>
    <t>Chandratal — Pricing Rules</t>
  </si>
  <si>
    <t>Chandratal</t>
  </si>
  <si>
    <t>Pelling</t>
  </si>
  <si>
    <t>Varanasi — Pricing Rules</t>
  </si>
  <si>
    <t>Varanasi</t>
  </si>
  <si>
    <t>CTL_A_CHANDRATAL_LAKE_4300M_MOON_LAKE_CRESCENT_SHAPE_CRYSTAL_CLEAR_BLUE_GREEN_TURQUOISE_2.5KM</t>
  </si>
  <si>
    <t>PEL_A_PELLING_SKYWALK_INDIA_FIRST_GLASS_SKYWALK + CHENREZIG_STATUE_137FT_TALLEST_FAMOUS_BEST_SKYWALK_SIKKIM</t>
  </si>
  <si>
    <t>PEL_A_PEMAYANGTSE_MONASTERY_OLDEST_SIKKIM_1705 + SANGACHOELING_MONASTERY_OLDEST + KHECHEOPALRI_LAKE_SACRED_WISH_FULFILLING + RABDENTSE_RUINS_FIRST_CAPITAL</t>
  </si>
  <si>
    <t>Lucknow — Pricing Rules</t>
  </si>
  <si>
    <t>CTL_A_CAMPING_2KM_BEFORE_LAKE_PREMIUM_BASIC_BONFIRE_MILKY_WAY_STAR_GAZING_VALLEY_VIEW</t>
  </si>
  <si>
    <t>PEL_A_KANCHENJUNGA_CLOSEST_VIEW_BEST_VIEW_SIKKIM + KANCHENJUNGA_FALLS + RIMBI_FALLS + DARAP_VILLAGE + SINGSHORE_BRIDGE_HIGHEST_BRIDGE_SIKKIM + DENTAM_VALLEY</t>
  </si>
  <si>
    <t>VARANASI_A_KASHI_VISHWANATH_DASHASHWAMEDH_CORE</t>
  </si>
  <si>
    <t>PEL_A_YUKSOM_FIRST_CAPITAL_SIKKIM + TASHIDING_MONASTERY + UTTAREY + SINGSHORE + DARAP + DENTAM + KHECHEOPALRI + FOREST + HILLS + BEST_NATURE_WEST_SIKKIM</t>
  </si>
  <si>
    <t>CTL_A_MILKY_WAY_STAR_GAZING_ZERO_LIGHT_POLLUTION_BEST_SPITI_JUN_SEP</t>
  </si>
  <si>
    <t>Lucknow</t>
  </si>
  <si>
    <t>VARANASI_A_ASSI_TULSI_GHAT_CORE</t>
  </si>
  <si>
    <t>CTL_A_KUNZUM_PASS_4551M_KUNZUM_MATA_TEMPLE_HIGHEST_PASS_GATEWAY_SPITI_LAHUAL</t>
  </si>
  <si>
    <t>VARANASI_A_MANIKARNIKA_PANCHGANGA_CORE</t>
  </si>
  <si>
    <t>CTL_A_BATAL_3900M_CHANDRA_DHABA_FAMOUS_DHABA_GATEWAY</t>
  </si>
  <si>
    <t>VARANASI_A_SARNATH_BUDDHIST_CORE</t>
  </si>
  <si>
    <t>CTL_A_LOSAR_4050M_LAST_VILLAGE_SPITI_GATEWAY</t>
  </si>
  <si>
    <t>VARANASI_A_BHU_BHARAT_KALA_BHAVAN_CORE</t>
  </si>
  <si>
    <t>CTL_A_KAZA_98KM_SPITI_HQ_MARKET_SAKYA_TANGYUD_KEY_KIBBER_CHICHAM_LANGZA_HIKKIM_KOMIC</t>
  </si>
  <si>
    <t>VARANASI_A_DURGA_KUND_SANKAT_MOCHAN_CORE</t>
  </si>
  <si>
    <t>CTL_A_CHANDRA_RIVER_SOURCE_MYTHOLOGY_FOLKLORE</t>
  </si>
  <si>
    <t>VARANASI_A_RAMNAGAR_FORT_CORE</t>
  </si>
  <si>
    <t>VARANASI_A_RAJGHAT_NAMO_GHAT_CORE</t>
  </si>
  <si>
    <t>VARANASI_A_BANARASI_WEAVING_CRAFT_CORE</t>
  </si>
  <si>
    <t>VARANASI_A_GODOWLIA_CHOWK_FOOD_CORE</t>
  </si>
  <si>
    <t>VARANASI_A_KABIR_CHAURA_MUSIC_CORE</t>
  </si>
  <si>
    <t>VARANASI_A_GANGA_BOATING_GHAT_CORE</t>
  </si>
  <si>
    <t>LUCKNOW_A_BARA_IMAMBARA_RUMI_DARWAZA_CORE</t>
  </si>
  <si>
    <t>LUCKNOW_A_CHOTA_IMAMBARA_HUSAINABAD_CORE</t>
  </si>
  <si>
    <t>LUCKNOW_A_RESIDENCY_1857_CORE</t>
  </si>
  <si>
    <t>LUCKNOW_A_QAISERBAGH_CHATTAR_MANZIL_CORE</t>
  </si>
  <si>
    <t>LUCKNOW_A_HAZRATGANJ_SIKANDAR_BAGH_CORE</t>
  </si>
  <si>
    <t>LUCKNOW_A_CHOWK_AKBARI_GATE_CULINARY_CRAFT_CORE</t>
  </si>
  <si>
    <t>LUCKNOW_A_AMINABAD_OLD_BAZAAR_CORE</t>
  </si>
  <si>
    <t>LUCKNOW_A_LA_MARTINIERE_DILKUSHA_CORE</t>
  </si>
  <si>
    <t>LUCKNOW_A_GOMTI_NAGAR_RIVERFRONT_CORE</t>
  </si>
  <si>
    <t>LUCKNOW_A_AMBEDKAR_MEMORIAL_JANESHWAR_PARK_CORE</t>
  </si>
  <si>
    <t>LUCKNOW_A_KUKRAIL_NATURE_FOREST_CORE</t>
  </si>
  <si>
    <t>LUCKNOW_A_CHARBAGH_RAILWAY_HERITAGE_CORE</t>
  </si>
  <si>
    <t>Kanyakumari — Pricing Rules</t>
  </si>
  <si>
    <t>Kanyakumari</t>
  </si>
  <si>
    <t>KANYAKUMARI_A_VIVEKANANDA_ROCK_MEMORIAL</t>
  </si>
  <si>
    <t>KANYAKUMARI_A_THIRUVALLUVAR_STATUE</t>
  </si>
  <si>
    <t>KANYAKUMARI_A_KUMARI_AMMAN_TEMPLE</t>
  </si>
  <si>
    <t>KANYAKUMARI_A_GANDHI_MANDAPAM</t>
  </si>
  <si>
    <t>KANYAKUMARI_A_SUNSET_VIEW_POINT</t>
  </si>
  <si>
    <t>KANYAKUMARI_A_LIGHTHOUSE</t>
  </si>
  <si>
    <t>KANYAKUMARI_A_THANUMALAYAN_TEMPLE</t>
  </si>
  <si>
    <t>KANYAKUMARI_A_MATHUR_AQUEDUCT</t>
  </si>
  <si>
    <t>KANYAKUMARI_A_WAX_MUSEUM</t>
  </si>
  <si>
    <t>KANYAKUMARI_A_ADHI_KESAVA_PERUMAL_TEMPLE</t>
  </si>
  <si>
    <t>KANYAKUMARI_A_SUCHINDRAM_TEMPLE</t>
  </si>
  <si>
    <t>Murshidabad — Pricing Rules</t>
  </si>
  <si>
    <t>Murshidabad</t>
  </si>
  <si>
    <t>Namchi — Pricing Rules</t>
  </si>
  <si>
    <t>Namchi</t>
  </si>
  <si>
    <t>MUR_A_HAZARDUARI_PALACE_1000_DOORS_114_ROOMS_MUSEUM</t>
  </si>
  <si>
    <t>MUR_A_NIZAMAT_IMAMBARA_LARGEST_INDIA</t>
  </si>
  <si>
    <t>MUR_A_KATRA_MOSQUE_MURSHID_QULI_KHAN_TOMB</t>
  </si>
  <si>
    <t>MUR_A_CHAR_BANGLA_TEMPLES_TERRACOTTA_FAMOUS</t>
  </si>
  <si>
    <t>MUR_A_KIRITESWARI_SHAKTI_PEETHA_HOLY</t>
  </si>
  <si>
    <t>MUR_A_KHOSH_BAGH + WASIF_MANZIL + KATHGOLA_TEMPLE + JAIN_TEMPLE + JAHAN_KOSHA_CANNON + FAUTI_MOSQUE + MOTIJHEEL + BARANAGAR + COSSIMBAZAR + MURSHIDABAD_SILK_WEAVING + PLASSEY_BATTLEFIELD_30KM_1757</t>
  </si>
  <si>
    <t>NMC_A_CHAR_DHAM_87FT_SHIVA + 4_DHAM_REPLICAS_FAMOUS_BEST_PILGRIMAGE_SIKKIM</t>
  </si>
  <si>
    <t>NMC_A_SAMDRUPTSE_135FT_GURU_PADMASAMBHAVA_TALLEST + SAI_MANDIR</t>
  </si>
  <si>
    <t>NMC_A_ROCK_GARDEN + NAMCHI_MONASTERY + TENDONG_HILL + MAENAM_WILDLIFE_SANCTUARY</t>
  </si>
  <si>
    <t>NMC_A_TEMI_TEA_GARDEN_ONLY_TEA_GARDEN_SIKKIM + KANCHENJUNGA_VIEW + HIMALAYAS</t>
  </si>
  <si>
    <t>NMC_A_RAVANGLA_25KM + BUDDHA_PARK + RALANG_MONASTERY + BORONG + TEMI_TEA + TENDONG + MAENAM + KANCHENJUNGA</t>
  </si>
  <si>
    <t>Sangla — Pricing Rules</t>
  </si>
  <si>
    <t>Sangla</t>
  </si>
  <si>
    <t>SGL_A_CHITKUL_LAST_VILLAGE_INDIA_TIBET_BORDER_22KM_BASPA_RIVER_MEADOWS_3450M</t>
  </si>
  <si>
    <t>SGL_A_SANGLA_VALLEY_BASPA_RIVER_18KM_RIVER_SIDE_CAMPS_MEADOWS_PINE_DEODAR</t>
  </si>
  <si>
    <t>SGL_A_KAMRU_FORT_1000YR_KAMRU_VILLAGE_BERING_NAG_TEMPLE_KINNAURI_ARCHITECTURE_2KM</t>
  </si>
  <si>
    <t>SGL_A_BATSERI_VILLAGE_15KM_RAKCHHAM_VILLAGE_10KM_MEADOWS_PINE_DEODAR_BASPA_RIVER</t>
  </si>
  <si>
    <t>SGL_A_KALPA_40KM_KINNER_KAILASH_VIEWS_NARAYAN_NAGINI_ROGHI_SUICIDE_POINT</t>
  </si>
  <si>
    <t>SGL_A_RUPIN_PASS_TREK_BASE_SANGLA_TREK_BASPA_TROUT_FISHING_MOUNTAIN_BIKING</t>
  </si>
  <si>
    <t>Kaza — Pricing Rules</t>
  </si>
  <si>
    <t>Kaza</t>
  </si>
  <si>
    <t>KZA_A_KAZA_MARKET_3650M_SPITI_HQ_MARKET_CAFES_SPITI_RIVER_SAKYA_TANGYUD_MONASTERY_COLD_DESERT_BASE</t>
  </si>
  <si>
    <t>KZA_A_KEY_MONASTERY_14KM_4166M_BIGGEST_MONASTERY_SPITI_1000_YEARS_OLD_HILLTOP_ICONIC_MOST_PHOTOGRAPHED</t>
  </si>
  <si>
    <t>KZA_A_KIBBER_VILLAGE_19KM_4270M_EX_HIGHEST_VILLAGE_KIBBER_WILDLIFE_SANCTUARY_SNOW_LEOPARD_IBEX</t>
  </si>
  <si>
    <t>KZA_A_CHICHAM_BRIDGE_20KM_4145M_13596FT_ASIA_HIGHEST_BRIDGE_KIBBER_CHICHAM_GORGE_SUSPENSION_DEEP</t>
  </si>
  <si>
    <t>KZA_A_LANGZA_BUDDHA_16KM_4400M_BIG_BUDDHA_STATUE_FOSSIL_VILLAGE_FOSSIL_HUNTING_LANGZA_MONASTERY_CHAU_KANG_NILDA_VIEW</t>
  </si>
  <si>
    <t>KZA_A_HIKKIM_16KM_4400M_WORLDS_HIGHEST_POST_OFFICE_4400M_POSTCARD_POST_BOX_HIGHEST_WORLD</t>
  </si>
  <si>
    <t>KZA_A_KOMIC_20KM_4587M_15045FT_WORLDS_HIGHEST_VILLAGE_WITH_ROAD_HIGHEST_VILLAGE_WORLD_TANGYUD_MONASTERY</t>
  </si>
  <si>
    <t>KZA_A_DHANKAR_MONASTERY_32KM_3894M_FORT_MONASTERY_DHANKAR_LAKE_2KM_TREK_4140M_FORT_VIEW_SPITI_PIN_CONFLUENCE</t>
  </si>
  <si>
    <t>KZA_A_PIN_VALLEY_52KM_MUDH_VILLAGE_LAST_VILLAGE_KUNGRI_MONASTERY_OLDEST_SPITI_PIN_RIVER_NATIONAL_PARK_SNOW_LEOPARD</t>
  </si>
  <si>
    <t>KZA_A_CHANDRATAL_LAKE_98KM_4300M_MOON_LAKE_CRESCENT_4X4_ONLY_JUN_SEP_CAMPING_MOON_LAKE_MUST_MILKY_WAY</t>
  </si>
  <si>
    <t>KZA_A_SAKYA_TANGYUD_MONASTERY_KAZA_MONASTERY_KAZA_TOWN_MONASTERY_BUDDHIST_TIBETAN_SMALL</t>
  </si>
  <si>
    <t>Kandy — Pricing Rules</t>
  </si>
  <si>
    <t>Kandy</t>
  </si>
  <si>
    <t>Sri Lanka</t>
  </si>
  <si>
    <t>LKR</t>
  </si>
  <si>
    <t>LKR→Local FX</t>
  </si>
  <si>
    <t>Dambulla — Pricing Rules</t>
  </si>
  <si>
    <t>Dambulla</t>
  </si>
  <si>
    <t>KDY_A_TEMPLE_OF_TOOTH</t>
  </si>
  <si>
    <t>KDY_A_KANDY_LAKE</t>
  </si>
  <si>
    <t>DMB_A_DAMBULLA_CAVE_TEMPLE</t>
  </si>
  <si>
    <t>KDY_A_ROYAL_PALACE_MUSEUM</t>
  </si>
  <si>
    <t>DMB_A_SIGIRIYA_ROCK</t>
  </si>
  <si>
    <t>KDY_A_KANDYAN_CULTURAL_SHOW</t>
  </si>
  <si>
    <t>KDY_A_KANDY_MARKET</t>
  </si>
  <si>
    <t>DMB_A_PIDURANGALA_ROCK</t>
  </si>
  <si>
    <t>KDY_A_BAHIRAWAKANDA_BUDDHA</t>
  </si>
  <si>
    <t>DMB_A_MINNERIYA_NATIONAL_PARK</t>
  </si>
  <si>
    <t>KDY_A_UDAWATTA_KELE_SANCTUARY</t>
  </si>
  <si>
    <t>DMB_A_KAUDELLA_NATIONAL_PARK</t>
  </si>
  <si>
    <t>KDY_A_ROYAL_BOTANICAL_GARDENS</t>
  </si>
  <si>
    <t>DMB_A_GOLDEN_TEMPLE</t>
  </si>
  <si>
    <t>DMB_A_ALUVIHARA_TEMPLE</t>
  </si>
  <si>
    <t>KDY_A_CEYLON_TEA_MUSEUM</t>
  </si>
  <si>
    <t>KDY_A_HANTHANA_TEA_ESTATES</t>
  </si>
  <si>
    <t>KDY_A_AMBULUWAWA_TOWER</t>
  </si>
  <si>
    <t>KDY_A_PINNAWALA_ELEPHANT_ORPHANAGE</t>
  </si>
  <si>
    <t>KDY_A_NUWARA_ELIYA</t>
  </si>
  <si>
    <t>DMB_A_SIGIRIYA_MUSEUM</t>
  </si>
  <si>
    <t>KDY_A_SCENIC_TRAIN_KANDY_TO_NANU_OYA</t>
  </si>
  <si>
    <t>DMB_A_IRIYAWA_WATERFALL</t>
  </si>
  <si>
    <t>KDY_A_KNUCKLES_RANGE</t>
  </si>
  <si>
    <t>DMB_A_VILLAGE_TOUR</t>
  </si>
  <si>
    <t>DMB_A_SPICE_GARDEN</t>
  </si>
  <si>
    <t>Colombo — Pricing Rules</t>
  </si>
  <si>
    <t xml:space="preserve">Colombo </t>
  </si>
  <si>
    <t>CMB_A_GALLE_FACE_GREEN</t>
  </si>
  <si>
    <t>CMB_A_GANGARAMAYA_TEMPLE</t>
  </si>
  <si>
    <t>CMB_A_NATIONAL_MUSEUM</t>
  </si>
  <si>
    <t>CMB_A_FORT_CLOCK_TOWER</t>
  </si>
  <si>
    <t>CMB_A_DUTCH_HOSPITAL</t>
  </si>
  <si>
    <t>CMB_A_LOTUS_TOWER</t>
  </si>
  <si>
    <t>CMB_A_PETTAH_MARKET</t>
  </si>
  <si>
    <t>CMB_A_CINNAMON_GARDENS</t>
  </si>
  <si>
    <t>CMB_A_LIBERTY_PLAZA</t>
  </si>
  <si>
    <t>CMB_A_CRESCAT_BOULEVARD</t>
  </si>
  <si>
    <t>CMB_A_STREET_FOOD_GALLE_FACE</t>
  </si>
  <si>
    <t>CMB_A_MOUNT_LAVINIA_BEACH</t>
  </si>
  <si>
    <t>CMB_A_KEGALLE_ELEPHANT_ORPHANAGE</t>
  </si>
  <si>
    <t>CMB_A_NEGOMBO_FISH_MARKET</t>
  </si>
  <si>
    <t>CMB_A_PINNAWALA_ELEPHANT_SANCTUARY</t>
  </si>
  <si>
    <t>Kataragama — Pricing Rules</t>
  </si>
  <si>
    <t>Kataragama</t>
  </si>
  <si>
    <t>KTR_A_KATARAGAMA_TEMPLE_COMPLEX</t>
  </si>
  <si>
    <t>KTR_A_KIRIVEHERA_STUPA</t>
  </si>
  <si>
    <t>KTR_A_MENIK_GANGA_RIVER</t>
  </si>
  <si>
    <t>KTR_A_KATARAGAMA_MARKET</t>
  </si>
  <si>
    <t>KTR_A_SACRED_BO_TREE</t>
  </si>
  <si>
    <t>Waskaduwa — Pricing Rules</t>
  </si>
  <si>
    <t>KTR_A_YALA_NATIONAL_PARK</t>
  </si>
  <si>
    <t>KTR_A_BUNDALA_NATIONAL_PARK</t>
  </si>
  <si>
    <t>KTR_A_SITHULPAWWA_TEMPLE</t>
  </si>
  <si>
    <t xml:space="preserve">Waskaduwa </t>
  </si>
  <si>
    <t>KTR_A_MAGUL_MAHA_VIHARA</t>
  </si>
  <si>
    <t>KTR_A_LUNUGAMVEHERA_RESERVOIR</t>
  </si>
  <si>
    <t>KTR_A_BUNDALA_SAFARI</t>
  </si>
  <si>
    <t>KTR_A_YALA_FULL_DAY_SAFARI</t>
  </si>
  <si>
    <t>KTR_A_TISSAMAHARAMA_STUPA</t>
  </si>
  <si>
    <t>KTR_A_PALATUPANA_BEACH</t>
  </si>
  <si>
    <t>WKD_A_WASKADUWA_BEACH</t>
  </si>
  <si>
    <t>WKD_A_WASKADUWA_TEMPLE</t>
  </si>
  <si>
    <t>WKD_A_RESORT_BEACHFRONT</t>
  </si>
  <si>
    <t>WKD_A_MANGROVE_WALK</t>
  </si>
  <si>
    <t>WKD_A_KALUTARA_BODHIYA</t>
  </si>
  <si>
    <t>WKD_A_KALUTARA_TEMPLE</t>
  </si>
  <si>
    <t>WKD_A_KALUTARA_BRIDGE</t>
  </si>
  <si>
    <t>WKD_A_BERUWALA_FISHING_HARBOR</t>
  </si>
  <si>
    <t>WKD_A_BENTOTA_RIVER_SAFARI</t>
  </si>
  <si>
    <t>WKD_A_BENTOTA_TURTLE_HATCHERY</t>
  </si>
  <si>
    <t>WKD_A_BRIEF_GARDEN</t>
  </si>
  <si>
    <t>WKD_A_COLOMBO_CITY_TOUR</t>
  </si>
  <si>
    <t>WKD_A_GALLE_DUTCH_FORT</t>
  </si>
  <si>
    <t>Mirissa — Pricing Rules</t>
  </si>
  <si>
    <t xml:space="preserve">Mirissa </t>
  </si>
  <si>
    <t>Nuwara Eliya — Pricing Rules</t>
  </si>
  <si>
    <t>Nuwara Eliya</t>
  </si>
  <si>
    <t>EUR→Local FX</t>
  </si>
  <si>
    <t>Kathmandu — Pricing Rules</t>
  </si>
  <si>
    <t xml:space="preserve">Kathmandu </t>
  </si>
  <si>
    <t>Nepal</t>
  </si>
  <si>
    <t>NPR</t>
  </si>
  <si>
    <t>NPR→Local FX</t>
  </si>
  <si>
    <t>NWE_A_GREGORY_LAKE</t>
  </si>
  <si>
    <t>NWE_A_VICTORIA_PARK</t>
  </si>
  <si>
    <t>MIR_A_MIRISSA_BEACH</t>
  </si>
  <si>
    <t>KTM_A_PASHUPATINATH_TEMPLE</t>
  </si>
  <si>
    <t>MIR_A_PARROT_ROCK</t>
  </si>
  <si>
    <t>NWE_A_NUWARA_POST_OFFICE</t>
  </si>
  <si>
    <t>NWE_A_TOWN_MARKET</t>
  </si>
  <si>
    <t>MIR_A_COCONUT_TREE_HILL</t>
  </si>
  <si>
    <t>KTM_A_BOUDHANATH_STUPA</t>
  </si>
  <si>
    <t>NWE_A_STRAWBERRY_FARMS</t>
  </si>
  <si>
    <t>KTM_A_SWAYAMBHUNATH_MONKEY_TEMPLE</t>
  </si>
  <si>
    <t>Birgunj — Pricing Rules</t>
  </si>
  <si>
    <t>KTM_A_KATHMANDU_DURBAR_SQUARE</t>
  </si>
  <si>
    <t>MIR_A_SECRET_BEACH</t>
  </si>
  <si>
    <t>KTM_A_PATAN_DURBAR_SQUARE</t>
  </si>
  <si>
    <t>NWE_A_NUWARA_GOLF_CLUB</t>
  </si>
  <si>
    <t>NWE_A_HORTON_PLAINS_NATIONAL_PARK</t>
  </si>
  <si>
    <t>KTM_A_BHAKTAPUR_DURBAR_SQUARE</t>
  </si>
  <si>
    <t>KTM_A_CHANGU_NARAYAN</t>
  </si>
  <si>
    <t>KTM_A_THAMEL_MARKET</t>
  </si>
  <si>
    <t>KTM_A_GARDEN_OF_DREAMS</t>
  </si>
  <si>
    <t>KTM_A_ASAN_BAZAAR</t>
  </si>
  <si>
    <t>KTM_A_KUMARI_GHAR</t>
  </si>
  <si>
    <t>KTM_A_KAAL_BHAIRAV</t>
  </si>
  <si>
    <t>KTM_A_NAGARKOT_SUNRISE</t>
  </si>
  <si>
    <t>KTM_A_CHANDRAGIRI_CABLE_CAR</t>
  </si>
  <si>
    <t>KTM_A_DAKSHINKALI_TEMPLE</t>
  </si>
  <si>
    <t>KTM_A_PHARPING_MONASTERY</t>
  </si>
  <si>
    <t>MIR_A_MIRISSA_HARBOR</t>
  </si>
  <si>
    <t>KTM_A_BUDHANILKANTHA</t>
  </si>
  <si>
    <t>MIR_A_WHALE_WATCHING_JETTY</t>
  </si>
  <si>
    <t xml:space="preserve">Birgunj </t>
  </si>
  <si>
    <t>NWE_A_WORLDS_END</t>
  </si>
  <si>
    <t>MIR_A_BLUE_WHALE_WATCHING</t>
  </si>
  <si>
    <t>NWE_A_HAKGALA_BOTANICAL_GARDENS</t>
  </si>
  <si>
    <t>MIR_A_TURTLE_SNORKELING</t>
  </si>
  <si>
    <t>MIR_A_STILT_FISHERMEN</t>
  </si>
  <si>
    <t>NWE_A_TEA_FACTORY_PEDRO</t>
  </si>
  <si>
    <t>MIR_A_DOLPHIN_WATCHING</t>
  </si>
  <si>
    <t>NWE_A_TEA_FACTORY_MACKWOODS</t>
  </si>
  <si>
    <t>MIR_A_SURF_WELIGAMA</t>
  </si>
  <si>
    <t>MIR_A_KAYAKING_MANGROVES</t>
  </si>
  <si>
    <t>NWE_A_LABOOKELLIE_TEA_ESTATE</t>
  </si>
  <si>
    <t>MIR_A_GALLE_DUTCH_FORT</t>
  </si>
  <si>
    <t>MIR_A_YALA_NATIONAL_PARK</t>
  </si>
  <si>
    <t>NWE_A_LOVERS_LEAP_WATERFALL</t>
  </si>
  <si>
    <t>MIR_A_UDAWALUWAWE_NATIONAL_PARK</t>
  </si>
  <si>
    <t>MIR_A_JUNGLE_BEACH_RUMASSALA</t>
  </si>
  <si>
    <t>NWE_A_RAMBODA_FALLS</t>
  </si>
  <si>
    <t>MIR_A_HUMMANAYA_BLOWHOLE</t>
  </si>
  <si>
    <t>NWE_A_SCENIC_TRAIN_NANU_OYA_TO_ELLA</t>
  </si>
  <si>
    <t>NWE_A_ELLA_ROCK</t>
  </si>
  <si>
    <t>NWE_A_NINE_ARCH_BRIDGE</t>
  </si>
  <si>
    <t>NWE_A_LIPTONS_SEAT_HAPUTALE</t>
  </si>
  <si>
    <t>NWE_A_KITULGALA_RAFTING</t>
  </si>
  <si>
    <t>BIR_A_GHADIARWA_POKHARI</t>
  </si>
  <si>
    <t>BIR_A_JAIN_TEMPLE</t>
  </si>
  <si>
    <t>BIR_A_BORDER_MARKET</t>
  </si>
  <si>
    <t>BIR_A_MAHADEVA_TEMPLE</t>
  </si>
  <si>
    <t>BIR_A_BIRGANJ_CLOCK_TOWER</t>
  </si>
  <si>
    <t>BIR_A_GARIB_NAWAZ_MOSQUE</t>
  </si>
  <si>
    <t>BIR_A_PARSA_NATIONAL_PARK</t>
  </si>
  <si>
    <t>BIR_A_SIMARA_FOREST</t>
  </si>
  <si>
    <t>BIR_A_LAKE_BOATING</t>
  </si>
  <si>
    <t>BIR_A_CHITWAN_NATIONAL_PARK</t>
  </si>
  <si>
    <t>BIR_A_HETAUDA</t>
  </si>
  <si>
    <t>BIR_A_RAXAUL_INDIA</t>
  </si>
  <si>
    <t>BIR_A_PARSAGADHI_FORT</t>
  </si>
  <si>
    <t>Pokhara— Pricing Rules</t>
  </si>
  <si>
    <t>Pokhara</t>
  </si>
  <si>
    <t>Chitwan — Pricing Rules</t>
  </si>
  <si>
    <t xml:space="preserve">Chitwan </t>
  </si>
  <si>
    <t>Paro — Pricing Rules</t>
  </si>
  <si>
    <t xml:space="preserve">Paro </t>
  </si>
  <si>
    <t>Bhutan</t>
  </si>
  <si>
    <t>BTN</t>
  </si>
  <si>
    <t>BTN→Local FX</t>
  </si>
  <si>
    <t>CHT_A_CHITWAN_NATIONAL_PARK</t>
  </si>
  <si>
    <t>CHT_A_RAPTI_RIVER</t>
  </si>
  <si>
    <t>PKR_A_PHEWA_LAKE_BOATING</t>
  </si>
  <si>
    <t>CHT_A_ELEPHANT_BREEDING_CENTER</t>
  </si>
  <si>
    <t>CHT_A_CROCODILE_BREEDING_CENTER</t>
  </si>
  <si>
    <t>CHT_A_RHINO_SIGHTING</t>
  </si>
  <si>
    <t>CHT_A_SAURAH_GATE</t>
  </si>
  <si>
    <t>PKR_A_SARANGKOT_SUNRISE</t>
  </si>
  <si>
    <t>CHT_A_JEEP_SAFARI</t>
  </si>
  <si>
    <t>CHT_A_CANOE_RIDE_RAPTI</t>
  </si>
  <si>
    <t>PKR_A_WORLD_PEACE_PAGODA</t>
  </si>
  <si>
    <t>CHT_A_JUNGLE_WALK</t>
  </si>
  <si>
    <t>PKR_A_DAVIS_FALL</t>
  </si>
  <si>
    <t>CHT_A_BIRD_WATCHING</t>
  </si>
  <si>
    <t>PKR_A_GUPTESHWOR_CAVE</t>
  </si>
  <si>
    <t>CHT_A_ELEPHANT_BATHING</t>
  </si>
  <si>
    <t>CHT_A_SUNSET_RAPTI</t>
  </si>
  <si>
    <t>PAR_A_TAKTSANG_TIGER_NEST_MONASTERY</t>
  </si>
  <si>
    <t>PKR_A_INTERNATIONAL_MOUNTAIN_MUSEUM</t>
  </si>
  <si>
    <t>CHT_A_THARU_CULTURAL_DANCE</t>
  </si>
  <si>
    <t>PKR_A_BINDHYABASINI_TEMPLE</t>
  </si>
  <si>
    <t>CHT_A_THARU_VILLAGE_WALK</t>
  </si>
  <si>
    <t>PAR_A_RINPUNG_DZONG_PARO_DZONG</t>
  </si>
  <si>
    <t>CHT_A_THARU_MUSEUM</t>
  </si>
  <si>
    <t>PKR_A_SETI_GORGE</t>
  </si>
  <si>
    <t>CHT_A_OX_CART_RIDE</t>
  </si>
  <si>
    <t>PKR_A_PARAGLIDING_TANDEM</t>
  </si>
  <si>
    <t>PAR_A_NATIONAL_MUSEUM_TA_DZONG</t>
  </si>
  <si>
    <t>PAR_A_KYICHU_LHAKHANG</t>
  </si>
  <si>
    <t>PKR_A_ZIP_FLYER_WORLD_LONGEST</t>
  </si>
  <si>
    <t>PKR_A_ULTRALIGHT_FLIGHT</t>
  </si>
  <si>
    <t>PKR_A_BUNGEE_JUMP</t>
  </si>
  <si>
    <t>PKR_A_TREKKING_ABC_MARDI</t>
  </si>
  <si>
    <t>Thimphu — Pricing Rules</t>
  </si>
  <si>
    <t>PKR_A_BEGNAS_LAKE</t>
  </si>
  <si>
    <t>PKR_A_RUPA_LAKE</t>
  </si>
  <si>
    <t xml:space="preserve">Thimphu </t>
  </si>
  <si>
    <t>PKR_A_TIBETAN_REFUGEE_CAMP</t>
  </si>
  <si>
    <t>PAR_A_DRUKGYEL_DZONG_RUINS</t>
  </si>
  <si>
    <t>PKR_A_OLD_BAZAAR</t>
  </si>
  <si>
    <t>PAR_A_CHELE_LA_PASS_3988M</t>
  </si>
  <si>
    <t>PAR_A_ZURI_DZONG_HIKE</t>
  </si>
  <si>
    <t>PAR_A_BUMDRA_TREK_CAMP</t>
  </si>
  <si>
    <t>PAR_A_PELRI_CAMP</t>
  </si>
  <si>
    <t>PAR_A_BONDEY_VILLAGE_FARMHOUSE</t>
  </si>
  <si>
    <t>PAR_A_PARO_CHHU_RIVER_WALK</t>
  </si>
  <si>
    <t>PAR_A_FARMHOUSE_DINNER + HOT_STONE_BATH</t>
  </si>
  <si>
    <t>PAR_A_DUNGTSHE_LHAKHANG</t>
  </si>
  <si>
    <t>PAR_A_ACHI_LHAKHANG</t>
  </si>
  <si>
    <t>PAR_A_HAA_VALLEY_DAY_TRIP</t>
  </si>
  <si>
    <t>THI_A_TASHICHHO_DZONG</t>
  </si>
  <si>
    <t>THI_A_BUDDHA_DORDENMA</t>
  </si>
  <si>
    <t>THI_A_MEMORIAL_CHORTEN</t>
  </si>
  <si>
    <t>THI_A_CLOCK_TOWER_SQUARE</t>
  </si>
  <si>
    <t>THI_A_WEEKEND_MARKET</t>
  </si>
  <si>
    <t>THI_A_MOTITHANG_TAKIN_PRESERVE</t>
  </si>
  <si>
    <t>THI_A_FOLK_HERITAGE_MUSEUM</t>
  </si>
  <si>
    <t>THI_A_NATIONAL_TEXTILE_MUSEUM</t>
  </si>
  <si>
    <t>THI_A_SIMPLY_BHUTAN_MUSEUM</t>
  </si>
  <si>
    <t>THI_A_NATIONAL_LIBRARY</t>
  </si>
  <si>
    <t>THI_A_CHANGANGKHA_LHAKHANG</t>
  </si>
  <si>
    <t>THI_A_CHANG_GANGKHA</t>
  </si>
  <si>
    <t>THI_A_CHERI_MONASTERY_HIKE</t>
  </si>
  <si>
    <t>THI_A_TANGO_MONASTERY_HIKE</t>
  </si>
  <si>
    <t>THI_A_PHAJODING_HIKE</t>
  </si>
  <si>
    <t>THI_A_ARCHERY_GROUND</t>
  </si>
  <si>
    <t>Phunotsoling — Pricing Rules</t>
  </si>
  <si>
    <t xml:space="preserve">Phunotsoling </t>
  </si>
  <si>
    <t>PHU_A_BHUTAN_GATE</t>
  </si>
  <si>
    <t>PHU_A_ZANGTO_PELRI_LHAKHANG</t>
  </si>
  <si>
    <t>PHU_A_KHARBANDI_GOEMPA</t>
  </si>
  <si>
    <t>PHU_A_AMO_CHHU_CROCODILE_BREEDING_CENTER</t>
  </si>
  <si>
    <t>PHU_A_KARMA_DORJI_LHAKHANG</t>
  </si>
  <si>
    <t>PHU_A_AMO_CHHU_RIVER_VIEW</t>
  </si>
  <si>
    <t>PHU_A_CHUKHA_HYDRO_PROJECT_VIEWPOINT_ENROUTE</t>
  </si>
  <si>
    <t>PHU_A_TORSA_RIVER</t>
  </si>
  <si>
    <t>PHU_A_PHUENTSHOLING_MARKET</t>
  </si>
  <si>
    <t>PHU_A_DOROKHA_DAY_TRIP</t>
  </si>
  <si>
    <t>Punakha — Pricing Rules</t>
  </si>
  <si>
    <t xml:space="preserve">Punakha </t>
  </si>
  <si>
    <t>Male — Pricing Rules</t>
  </si>
  <si>
    <t xml:space="preserve">Male </t>
  </si>
  <si>
    <t>Maldives</t>
  </si>
  <si>
    <t>MVR</t>
  </si>
  <si>
    <t>MVR→Local FX</t>
  </si>
  <si>
    <t>PNK_A_PUNAKHA_DZONG</t>
  </si>
  <si>
    <t>PNK_A_DOCHULA_PASS_108_CHORTENS</t>
  </si>
  <si>
    <t>Maafushi— Pricing Rules</t>
  </si>
  <si>
    <t>Maafushi</t>
  </si>
  <si>
    <t>PNK_A_CHIMI_LHAKHANG_FERTILITY_TEMPLE</t>
  </si>
  <si>
    <t>PNK_A_PUNAKHA_SUSPENSION_BRIDGE</t>
  </si>
  <si>
    <t>PNK_A_MO_CHHU_PO_CHHU_CONFLUENCE</t>
  </si>
  <si>
    <t>MLE_A_MALE_CITY_TOUR</t>
  </si>
  <si>
    <t>PNK_A_KHAMSUM_YULLEY_NAMGYAL_CHORTEN_HIKE</t>
  </si>
  <si>
    <t>PNK_A_SANGCHHEN_DORJI_LHUENDRUP_NUNNERY</t>
  </si>
  <si>
    <t>PNK_A_TALO_VILLAGE</t>
  </si>
  <si>
    <t>MLE_A_HULHUMALE_BEACH</t>
  </si>
  <si>
    <t>PNK_A_RIVER_RAFTING_MO_CHHU</t>
  </si>
  <si>
    <t>PNK_A_RICE_FIELD_WALK</t>
  </si>
  <si>
    <t>PNK_A_PUNAKHA_TOWN_MARKET</t>
  </si>
  <si>
    <t>MLE_A_MAAFUSHI_LOCAL_ISLAND</t>
  </si>
  <si>
    <t>PNK_A_LIMBUKHA_VILLAGE</t>
  </si>
  <si>
    <t>MLE_A_SANDBANK_PRIVATE_ISLAND</t>
  </si>
  <si>
    <t>MLE_A_DOLPHIN_CRUISE_SUNSET</t>
  </si>
  <si>
    <t>MLE_A_HOUSE_REEF_SNORKELING</t>
  </si>
  <si>
    <t>MLE_A_BIOLUMINESCENCE_BEACH_VAADHOO</t>
  </si>
  <si>
    <t>MLE_A_UNDERWATER_RESTAURANT_CONRAD</t>
  </si>
  <si>
    <t>MLE_A_BAA_ATOLL_MANTA_SNORKELING_MAY_NOV</t>
  </si>
  <si>
    <t>MFH_A_BIKINI_BEACH</t>
  </si>
  <si>
    <t>MLE_A_SOUTH_ARI_ATOLL_WHALE_SHARK</t>
  </si>
  <si>
    <t>MLE_A_BANANA_REEF_DIVING</t>
  </si>
  <si>
    <t>MFH_A_SANDBANK_PICNIC_TOUR</t>
  </si>
  <si>
    <t>MLE_A_MALDIVIAN_VILLAGE_TOUR</t>
  </si>
  <si>
    <t>- MFH_A_SNORKELING_TRIP_3_REEFS</t>
  </si>
  <si>
    <t>MLE_A_NIGHT_SNORKELING_WITH_SHARKS</t>
  </si>
  <si>
    <t>MFH_A_DOLPHIN_CRUISE_SUNSET</t>
  </si>
  <si>
    <t>MLE_A_JETSKI + PARASAILING + FLYBOARD</t>
  </si>
  <si>
    <t>MFH_A_RESORT_DAY_VISIT_SUN_SIYAM / ADAARAN</t>
  </si>
  <si>
    <t>MLE_A_SUNSET_FISHING + BIG_GAME_FISHING</t>
  </si>
  <si>
    <t>MFH_A_SUBMARINE_DIVING / NIGHT_SHARK_SNORKELING</t>
  </si>
  <si>
    <t>MFH_A_BIOLUMINESCENCE_NIGHT_BEACH_SEASONAL</t>
  </si>
  <si>
    <t>MFH_A_SCUBA_DIVING_10_DIVE_CENTERS</t>
  </si>
  <si>
    <t>MFH_A_WATER_SPORTS_JETSKI_PARASAIL_KAYAK_SUP</t>
  </si>
  <si>
    <t>MFH_A_SUNSET_FISHING + BIG_GAME_FISHING</t>
  </si>
  <si>
    <t>Wuhan — Pricing Rules</t>
  </si>
  <si>
    <t>MFH_A_FLOATING_BAR_ALCOHOL_BOAT</t>
  </si>
  <si>
    <t>MFH_A_MAAFUSHI_PRISON_HISTORY</t>
  </si>
  <si>
    <t>Wuhan</t>
  </si>
  <si>
    <t>MFH_A_LOCAL_ISLAND_GULHI_GURAIDHOO_FULIDHOO_DAY_TRIP</t>
  </si>
  <si>
    <t>China</t>
  </si>
  <si>
    <t>RMB</t>
  </si>
  <si>
    <t>RMB→Local FX</t>
  </si>
  <si>
    <t>MFH_A_FISH_MARKET + SOUVENIR_SHOPPING</t>
  </si>
  <si>
    <t>WUHAN_A_YELLOW_CRANE_TOWER_WUCHANG_CORE</t>
  </si>
  <si>
    <t>WUHAN_A_EAST_LAKE_GREENWAY_CORE</t>
  </si>
  <si>
    <t>WUHAN_A_HUBEI_PROVINCIAL_MUSEUM_CHU_CORE</t>
  </si>
  <si>
    <t>WUHAN_A_WUHAN_UNIVERSITY_CHERRY_BLOSSOM_CORE</t>
  </si>
  <si>
    <t>WUHAN_A_JIANGHAN_ROAD_HANKOU_CORE</t>
  </si>
  <si>
    <t>WUHAN_A_HANKOU_RIVERFRONT_CUSTOMS_CORE</t>
  </si>
  <si>
    <t>WUHAN_A_YANGTZE_RIVER_BRIDGE_CORE</t>
  </si>
  <si>
    <t>WUHAN_A_HUBU_LANE_FOOD_CORE</t>
  </si>
  <si>
    <t>WUHAN_A_CHU_RIVER_HAN_STREET_CORE</t>
  </si>
  <si>
    <t>WUHAN_A_MULAN_CULTURAL_ECOLOGICAL_CORE</t>
  </si>
  <si>
    <t>WUHAN_A_HAPPY_VALLEY_FAMILY_CORE</t>
  </si>
  <si>
    <t>WUHAN_A_OPTICS_VALLEY_MODERN_CORE</t>
  </si>
  <si>
    <t>Shanghai — Pricing Rules</t>
  </si>
  <si>
    <t>Shanghai</t>
  </si>
  <si>
    <t>Macau — Pricing Rules</t>
  </si>
  <si>
    <t>Beijing— Pricing Rules</t>
  </si>
  <si>
    <t>Macau</t>
  </si>
  <si>
    <t>Beijing</t>
  </si>
  <si>
    <t>SHANGHAI_A_BUND_HUANGPU_HISTORIC_CORE</t>
  </si>
  <si>
    <t>SHANGHAI_A_YU_GARDEN_OLD_CITY_CORE</t>
  </si>
  <si>
    <t>SHANGHAI_A_NANJING_ROAD_PEOPLES_SQUARE_CORE</t>
  </si>
  <si>
    <t>Hong Kong Disneyland — Pricing Rules</t>
  </si>
  <si>
    <t>SHANGHAI_A_LUJIAZUI_PUDONG_SKYLINE_CORE</t>
  </si>
  <si>
    <t>Hong Kong Disneyland</t>
  </si>
  <si>
    <t>SHANGHAI_A_FRENCH_CONCESSION_WUKANG_CORE</t>
  </si>
  <si>
    <t>HKD</t>
  </si>
  <si>
    <t>HKD→Local FX</t>
  </si>
  <si>
    <t>SHANGHAI_A_XINTIANDI_SHIKUMEN_CORE</t>
  </si>
  <si>
    <t>SHANGHAI_A_TIANZIFANG_CREATIVE_CORE</t>
  </si>
  <si>
    <t>SHANGHAI_A_JINGAN_PREMIUM_CITY_CORE</t>
  </si>
  <si>
    <t>SHANGHAI_A_SHANGHAI_MUSEUM_CULTURAL_CORE</t>
  </si>
  <si>
    <t>SHANGHAI_A_DISNEY_PUDONG_FAMILY_CORE</t>
  </si>
  <si>
    <t>SHANGHAI_A_ZHUJIAJIAO_WATER_TOWN_CORE</t>
  </si>
  <si>
    <t>SHANGHAI_A_NORTH_BUND_HONGKOU_CORE</t>
  </si>
  <si>
    <t>MACAU_A_SENADO_HISTORIC_CENTRE_CORE</t>
  </si>
  <si>
    <t>MACAU_A_RUINS_ST_PAUL_MOUNT_FORTRESS_CORE</t>
  </si>
  <si>
    <t>BEIJING_A_FORBIDDEN_CITY_TIANANMEN_IMPERIAL_CORE</t>
  </si>
  <si>
    <t>MACAU_A_AMA_TEMPLE_BARRA_CORE</t>
  </si>
  <si>
    <t>BEIJING_A_TEMPLE_OF_HEAVEN_QIANMEN_CORE</t>
  </si>
  <si>
    <t>MACAU_A_GUIA_FORTRESS_LIGHTHOUSE_CORE</t>
  </si>
  <si>
    <t>BEIJING_A_SHICHAHAI_HUTONG_OLD_BEIJING</t>
  </si>
  <si>
    <t>MACAU_A_MANDARINS_HOUSE_LILAU_CORE</t>
  </si>
  <si>
    <t>BEIJING_A_SUMMER_PALACE_HAIDIAN_ROYAL_GARDEN</t>
  </si>
  <si>
    <t>MACAU_A_MACAU_TOWER_NAM_VAN_CORE</t>
  </si>
  <si>
    <t>BEIJING_A_MUTIANYU_GREAT_WALL_HUAIROU</t>
  </si>
  <si>
    <t>MACAU_A_TAIPA_VILLAGE_CORE</t>
  </si>
  <si>
    <t>BEIJING_A_BADALING_MING_TOMBS_HERITAGE</t>
  </si>
  <si>
    <t>BEIJING_A_LAMA_TEMPLE_GUOZIJIAN_CORE</t>
  </si>
  <si>
    <t>MACAU_A_COTAI_INTEGRATED_RESORT_CORE</t>
  </si>
  <si>
    <t>MACAU_A_COLOANE_VILLAGE_CORE</t>
  </si>
  <si>
    <t>BEIJING_A_798_CONTEMPORARY_ART_CORE</t>
  </si>
  <si>
    <t>MACAU_A_SEAC_PAI_VAN_FAMILY_CORE</t>
  </si>
  <si>
    <t>BEIJING_A_OLYMPIC_PARK_MODERN_CORE</t>
  </si>
  <si>
    <t>BEIJING_A_SANLITUN_CBD_LIFESTYLE_CORE</t>
  </si>
  <si>
    <t>MACAU_A_HAC_SA_NATURE_CORE</t>
  </si>
  <si>
    <t>BEIJING_A_UNIVERSAL_TONGZHOU_FAMILY_CORE</t>
  </si>
  <si>
    <t>BEIJING_A_FRAGRANT_HILLS_NATURE_CORE</t>
  </si>
  <si>
    <t>MACAU_A_MACAO_SCIENCE_CENTRE_CORE</t>
  </si>
  <si>
    <t>HONG_KONG_DISNEYLAND_A_MAIN_STREET_CASTLE_CORE</t>
  </si>
  <si>
    <t>HONG_KONG_DISNEYLAND_A_FANTASYLAND_CLASSIC_CORE</t>
  </si>
  <si>
    <t>HONG_KONG_DISNEYLAND_A_WORLD_OF_FROZEN_CORE</t>
  </si>
  <si>
    <t>HONG_KONG_DISNEYLAND_A_TOMORROWLAND_MARVEL_CORE</t>
  </si>
  <si>
    <t>HONG_KONG_DISNEYLAND_A_ADVENTURELAND_JUNGLE_CORE</t>
  </si>
  <si>
    <t>HONG_KONG_DISNEYLAND_A_MYSTIC_POINT_CORE</t>
  </si>
  <si>
    <t>HONG_KONG_DISNEYLAND_A_GRIZZLY_GULCH_CORE</t>
  </si>
  <si>
    <t>HONG_KONG_DISNEYLAND_A_TOY_STORY_LAND_CORE</t>
  </si>
  <si>
    <t>HONG_KONG_DISNEYLAND_A_CASTLE_ENTERTAINMENT_CORE</t>
  </si>
  <si>
    <t>HONG_KONG_DISNEYLAND_A_RESORT_HOTELS_CORE</t>
  </si>
  <si>
    <t>HONG_KONG_DISNEYLAND_A_INSPIRATION_LAKE_CORE</t>
  </si>
  <si>
    <t>Kailash Masarovar — Pricing Rules</t>
  </si>
  <si>
    <t>Kailash Masarovar</t>
  </si>
  <si>
    <t>Osaka — Pricing Rules</t>
  </si>
  <si>
    <t>Osaka</t>
  </si>
  <si>
    <t>Japan</t>
  </si>
  <si>
    <t>JPY</t>
  </si>
  <si>
    <t>JPY→Local FX</t>
  </si>
  <si>
    <t>Hiroshima &amp; Nagasaki — Pricing Rules</t>
  </si>
  <si>
    <t>Hiroshima &amp; Nagasaki</t>
  </si>
  <si>
    <t>KAILASH_MANSAROVAR_A_MOUNT_KAILASH_DARCHEN_CORE</t>
  </si>
  <si>
    <t>OSA_A_DOTONBORI + GLICO_SIGN + RIVER_CRUISE</t>
  </si>
  <si>
    <t>KAILASH_MANSAROVAR_A_LAKE_MANASAROVAR_CORE</t>
  </si>
  <si>
    <t>KAILASH_MANSAROVAR_A_TARBOCHE_YAMA_DWAR_CORE</t>
  </si>
  <si>
    <t>KAILASH_MANSAROVAR_A_DIRAPUK_NORTH_FACE_CORE</t>
  </si>
  <si>
    <t>HRO_A_PEACE_MEMORIAL_PARK + A_BOMB_DOME + CENOTAPH</t>
  </si>
  <si>
    <t>KAILASH_MANSAROVAR_A_DOLMA_LA_GAURI_KUND_CORE</t>
  </si>
  <si>
    <t>KAILASH_MANSAROVAR_A_ZUTULPUK_KORA_CORE</t>
  </si>
  <si>
    <t>HRO_A_PEACE_MEMORIAL_MUSEUM</t>
  </si>
  <si>
    <t>KAILASH_MANSAROVAR_A_RAKSHASTAL_CORE</t>
  </si>
  <si>
    <t>OSA_A_OSAKA_CASTLE + PARK + MUSEUM</t>
  </si>
  <si>
    <t>KAILASH_MANSAROVAR_A_PURANG_TAKLAKOT_CORE</t>
  </si>
  <si>
    <t>HRO_A_ITSUKUSHIMA_SHRINE_MIYAJIMA_FLOATING_TORII + DEER</t>
  </si>
  <si>
    <t>OSA_A_UMEDA_SKY_BUILDING_FLOATING_GARDEN</t>
  </si>
  <si>
    <t>KAILASH_MANSAROVAR_A_SAGA_OVERLAND_CORE</t>
  </si>
  <si>
    <t>HRO_A_MIYAJIMA_MT_MISEN_ROPEWAY + DAISHO_IN_TEMPLE + MOMIJI</t>
  </si>
  <si>
    <t>OSA_A_SHINSEKAI + TSUTENKAKU_TOWER + KUSHIKATSU</t>
  </si>
  <si>
    <t>KAILASH_MANSAROVAR_A_GYIRONG_GATEWAY_CORE</t>
  </si>
  <si>
    <t>OSA_A_KUROMON_MARKET_FOOD + SHINSAIBASHI_SHOPPING</t>
  </si>
  <si>
    <t>HRO_A_HIROSHIMA_CASTLE + SHUKKEIEN_GARDEN + OKONOMIYAKI_VILLAGE</t>
  </si>
  <si>
    <t>KAILASH_MANSAROVAR_A_LIPULEKH_INDIA_ROUTE</t>
  </si>
  <si>
    <t>OSA_A_ABENO_HARUKAS_300M_TALLEST_BUILDING</t>
  </si>
  <si>
    <t>HRO_A_SET0_INLAND_SEA_CRUISE_PEACE_PARK_TO_MIYAJIMA</t>
  </si>
  <si>
    <t>KAILASH_MANSAROVAR_A_NATHU_LA_INDIA_ROUTE</t>
  </si>
  <si>
    <t>HRO_A_NAGASAKI_PEACE_PARK + PEACE_STATUE + ATOMIC_BOMB_MUSEUM + HYPOCENTER</t>
  </si>
  <si>
    <t>OSA_A_UNIVERSAL_STUDIOS_JAPAN_MARIO_WORLD + HARRY_POTTER</t>
  </si>
  <si>
    <t>HRO_A_DEJIMA_DUTCH_TRADING_POST + DEJIMA_WHARF</t>
  </si>
  <si>
    <t>OSA_A_AQUARIUM_KAIYUKAN + TEMPOZAN_FERRIS_WHEEL + LEGOLAND</t>
  </si>
  <si>
    <t>OSA_A_TENNOJI_PARK + ZOO + SHITENNO_JI</t>
  </si>
  <si>
    <t>HRO_A_GLOVER_GARDEN + OURA_CHURCH + DUTCH_SLOPE + MEGANE_BRIDGE</t>
  </si>
  <si>
    <t>OSA_A_HOZENJI_YOKOCHO_ALLEY + PONTOCHO_OSAKA</t>
  </si>
  <si>
    <t>HRO_A_MT_INASA_NIGHT_VIEW_TOP_3_JAPAN + ROPEWAY</t>
  </si>
  <si>
    <t>OSA_A_NARA_DEER_DAY_TRIP_45MIN</t>
  </si>
  <si>
    <t>OSA_A_KOBE_BEEF_DAY_TRIP_30MIN + HARBOR</t>
  </si>
  <si>
    <t>HRO_A_NAGASAKI_CHINATOWN + CHAMPON + CASTELLA + SARA_UDON</t>
  </si>
  <si>
    <t>OSA_A_KYOTO_DAY_TRIP_30MIN</t>
  </si>
  <si>
    <t>HRO_A_GUNKANJIMA_BATTLESHIP_ISLAND_CRUISE + LANDING</t>
  </si>
  <si>
    <t>OSA_A_KOYA_SAN_TEMPLE_STAY_90MIN</t>
  </si>
  <si>
    <t>To</t>
  </si>
  <si>
    <t>Kyoto</t>
  </si>
  <si>
    <t>Nara &amp; Nagoya — Pricing Rules</t>
  </si>
  <si>
    <t>Nara &amp; Nagoya</t>
  </si>
  <si>
    <t>KYO_A_FUSHIMI_INARI_TAisha_10000_TORII</t>
  </si>
  <si>
    <t>Tokyo — Pricing Rules</t>
  </si>
  <si>
    <t>KYO_A_ARASHIYAMA_BAMBOO_GROVE + TENRYU_JI</t>
  </si>
  <si>
    <t>KYO_A_KINKAKU_JI_GOLDEN_PAVILION</t>
  </si>
  <si>
    <t>Tokyo</t>
  </si>
  <si>
    <t>KYO_A_KIYOMIZU_DERA_TEMPLE + SANNENZAKA</t>
  </si>
  <si>
    <t>KYO_A_GION_GEISHA_DISTRICT + HANAMI_KOJI + YASAKA_SHRINE</t>
  </si>
  <si>
    <t>KYO_A_PHILOSOPHER'S_PATH + GINKAKU_JI + NANZEN_JI</t>
  </si>
  <si>
    <t>KYO_A_RYOAN_JI_ZEN_ROCK_GARDEN</t>
  </si>
  <si>
    <t>KYO_A_NISHIKI_MARKET_FOOD</t>
  </si>
  <si>
    <t>KYO_A_PONTOCHO_ALLEY + KAMOGAWA_RIVER</t>
  </si>
  <si>
    <t>- KYO_A_FUSHIMI_SAKE_DISTRICT + Gekkeikan</t>
  </si>
  <si>
    <t>KYO_A_ARASHIYAMA_MONKEY_PARK + TOGETSUKYO_BRIDGE</t>
  </si>
  <si>
    <t>KYO_A_SAGANO_ROMANTIC_TRAIN + HOZUGAWA_RIVER_BOAT</t>
  </si>
  <si>
    <t>KYO_A_KYOTO_STATION_SKYWAY + TO_JI_TEMPLE</t>
  </si>
  <si>
    <t>KYO_A_NARA_DAY_TRIP_DEER + TODAI_JI + UJI_MATCHA</t>
  </si>
  <si>
    <t>NAR_A_NARA_PARK_1200_DEER + DEER_CRACKERS + BOWING_DEER</t>
  </si>
  <si>
    <t>NAR_A_TODAI_JI_TEMPLE_BIG_BUDDHA + DAIBUTSU_DEN + MUSEUM</t>
  </si>
  <si>
    <t>NAR_A_KASUGA_TAISHA_SHRINE_3000_LANTERNS + WISTERIA</t>
  </si>
  <si>
    <t>NAR_A_KOFUKU_JI + ISUIEN_GARDEN + NARAMACHI_OLD_TOWN + MOCHI_POUNDING_NAKATANIDOU</t>
  </si>
  <si>
    <t>TYO_A_SENSO_JI_ASAKUSA</t>
  </si>
  <si>
    <t>NAR_A_MT_WAKAKUSA_SUNSET + WAKAKUSA_YAMAYAKI_FESTIVAL_JAN</t>
  </si>
  <si>
    <t>TYO_A_SHIBUYA_CROSSING + SHIBUYA_SKY</t>
  </si>
  <si>
    <t>TYO_A_MEIJI_SHRINE + YOYOGI_PARK</t>
  </si>
  <si>
    <t>NAR_A_NAGOYA_CASTLE + HONMARU_PALACE + PARK + SAKURA</t>
  </si>
  <si>
    <t>TYO_A_TOKYO_SKYTREE + ASAKUSA</t>
  </si>
  <si>
    <t>TYO_A_TOKYO_TOWER + ZOJOJI_TEMPLE</t>
  </si>
  <si>
    <t>NAR_A_ATSUTA_SHRINE + TOKUGAWA_MUSEUM + SHIROTORI_GARDEN</t>
  </si>
  <si>
    <t>TYO_A_TEAMLAB_BORDERLESS_AZABUDAI + TEAMLAB_PLANETS_TOYOSU</t>
  </si>
  <si>
    <t>NAR_A_TOYOTA_COMMEMORATIVE_MUSEUM + TOYOTA_CITY_FACTORY_TOUR</t>
  </si>
  <si>
    <t>TYO_A_IMPERIAL_PALACE_EAST_GARDEN</t>
  </si>
  <si>
    <t>TYO_A_TSUKIJI_OUTER_MARKET + TOYOSU_MARKET</t>
  </si>
  <si>
    <t>NAR_A_SCMAGLEV_RAILWAY_PARK + LEGOLAND_JAPAN + PORT_AQUARIUM + GHIBLI_PARK</t>
  </si>
  <si>
    <t>Mt Fuji — Pricing Rules</t>
  </si>
  <si>
    <t>TYO_A_HARAJUKU_TAKESHITA + OMOTESANDO</t>
  </si>
  <si>
    <t>TYO_A_SHINJUKU_GOLDEN_GAI + OMOIDE_YOKOCHO + KABUKICHO + GOV_BUILDING_VIEW</t>
  </si>
  <si>
    <t>NAR_A_SAKAE_TV_TOWER + OASIS_21 + OSU_SHOPPING_ARCADE + SCIENCE_MUSEUM_PLANETARIUM</t>
  </si>
  <si>
    <t>TYO_A_AKIHABARA_ANIME + ELECTRONICS</t>
  </si>
  <si>
    <t>Mt Fuji</t>
  </si>
  <si>
    <t>TYO_A_GINZA_SHOPPING + KABUKI_ZA</t>
  </si>
  <si>
    <t>TYO_A_UENO_PARK + MUSEUMS + ZOO + AMEYOKO</t>
  </si>
  <si>
    <t>TYO_A_RYOGOKU_SUMO_STADIUM + SUMO_MUSEUM</t>
  </si>
  <si>
    <t>TYO_A_TOKYO_DISNEYLAND + DISNEYSEA</t>
  </si>
  <si>
    <t>TYO_A_ODAIBA_GUNDAM + DIVERCITY + RAINBOW_BRIDGE</t>
  </si>
  <si>
    <t>TYO_A_HAKONE_DAY_TRIP + FUJI_VIEW</t>
  </si>
  <si>
    <t>TYO_A_KAMAKURA_DAY_TRIP_BIG_BUDDHA</t>
  </si>
  <si>
    <t>TYO_A_NIKKO_DAY_TRIP</t>
  </si>
  <si>
    <t>FUJI_A_MT_FUJI_YOSHIDA_5TH_STATION</t>
  </si>
  <si>
    <t>FUJI_A_KAWAGUCHIKO_LAKE + CRUISE + ROPEWAY</t>
  </si>
  <si>
    <t>FUJI_A_CHUREITO_PAGODA + ARAKURA_SENGEN_SHRINE</t>
  </si>
  <si>
    <t>FUJI_A_OSHINO_HAKKAI_SPRINGS_VILLAGE</t>
  </si>
  <si>
    <t>FUJI_A_YAMANAKAKO_LAKE + HANA_NO_MIYAKO_PARK</t>
  </si>
  <si>
    <t>FUJI_A_SAIKO_LAKE + IYASHI_NO_SATO_VILLAGE</t>
  </si>
  <si>
    <t>FUJI_A_MOTOSUKO_LAKE_1000YEN_VIEW + SHOJIKO</t>
  </si>
  <si>
    <t>FUJI_A_FUJI_Q_HIGHLAND + THOMAS_LAND</t>
  </si>
  <si>
    <t>FUJI_A_HAKONE_FUJI_VIEW_DAY_TRIP_CONNECTION</t>
  </si>
  <si>
    <t>FUJI_A_FUJI_SHIBAZAKURA_FESTIVAL_APR_MAY</t>
  </si>
  <si>
    <t>FUJI_A_LAKE_YAMANAKA_FLOWER_PARK</t>
  </si>
  <si>
    <t>FUJI_A_FUJI_CLIMBING_YOSHIDA_TRAIL_JUL_SEP + MOUNTAIN_HUTS + SUNRISE_GORAIKO</t>
  </si>
  <si>
    <t>Seol — Pricing Rules</t>
  </si>
  <si>
    <t>Busan — Pricing Rules</t>
  </si>
  <si>
    <t>Seol</t>
  </si>
  <si>
    <t>South Korea</t>
  </si>
  <si>
    <t>KRW</t>
  </si>
  <si>
    <t>KRW→Local FX</t>
  </si>
  <si>
    <t>Busan</t>
  </si>
  <si>
    <t>SEL_A_GYEONGBOKGUNG_PALACE + BUKCHON_HANOK_VILLAGE + INSADONG + JOGYESA_TEMPLE + CHANGDEOKGUNG + DEOKSUGUNG + JONGMYO</t>
  </si>
  <si>
    <t>SEL_A_MYEONGDONG_SHOPPING + DONGDAEMUN_MARKET + DONGDAEMUN_DESIGN_PLAZA + GANGNAM + COEX + APGUJEONG + GAROSU-GIL + HONGDAE + HONGIK_UNIVERSITY + ITAEWON</t>
  </si>
  <si>
    <t>SEL_A_N_SEOUL_TOWER + NAMSAN_PARK + LOVE_LOCKS + HAN_RIVER + HAN_RIVER_CRUISE + SEOUL_FOREST + CHEONGGYECHEON + CITY_HALL</t>
  </si>
  <si>
    <t>SEL_A_K-CULTURE_K-POP_K-DRAMA + SM_ENTERTAINMENT + JYP + LOTTE_WORLD + EVERLAND + DMZ + PANMUNJOM + 3RD_TUNNEL + DORA_OBSERVATORY + NAMI_ISLAND + PETITE_FRANCE + GARDEN_OF_MORNING_CALM</t>
  </si>
  <si>
    <t>PUS_A_HAEUNDAE_BEACH_#1_BEACH_KOREA + GWANGALLI_BEACH + GWANGAN_BRIDGE_NIGHT_VIEW + SONGDO_BEACH + DADAEPO_BEACH + BEST_BEACHES_KOREA_BEST_BEACH_CITY_KOREA</t>
  </si>
  <si>
    <t>PUS_A_GAMCHEON_CULTURE_VILLAGE_COLORFUL + HAEDONG_YONGGUNGSA_TEMPLE_SEASIDE + BEOMEOSA + UN_MEMORIAL</t>
  </si>
  <si>
    <t>PUS_A_JAGALCHI_FISH_MARKET_BIGGEST_SEAFOOD_MARKET_KOREA + BIFF_SQUARE + NAMPODONG + SEOMYEON + BUSAN_TOWER + GUKJE_MARKET + CENTUM_CITY + SHINSEGAE_BIGGEST_DEPT_STORE_WORLD</t>
  </si>
  <si>
    <t>PUS_A_SONGDO_SKYWALK + SONGDO_CABLE_CAR + TAEJONGDAE + ORYUKDO + GEUMJEONGSAN + LOTTE_WORLD + BUSAN_AQUARIUM + HAEUNDAE_MARKET + CENTUM_CITY + SHINSEGAE</t>
  </si>
  <si>
    <t>Yogyakarta — Pricing Rules</t>
  </si>
  <si>
    <t>Bali — Pricing Rules</t>
  </si>
  <si>
    <t>Yogyakarta</t>
  </si>
  <si>
    <t>Indonesia</t>
  </si>
  <si>
    <t>YIA</t>
  </si>
  <si>
    <t>Bali</t>
  </si>
  <si>
    <t>YIA→Local FX</t>
  </si>
  <si>
    <t>IDR</t>
  </si>
  <si>
    <t>IDR→Local FX</t>
  </si>
  <si>
    <t>YOG_A_BOROBUDUR</t>
  </si>
  <si>
    <t>YOG_A_PRAMBANAN</t>
  </si>
  <si>
    <t>YOG_A_KRATON</t>
  </si>
  <si>
    <t>YOG_A_TAMANSARI</t>
  </si>
  <si>
    <t>YOG_A_MALIOBORO</t>
  </si>
  <si>
    <t>YOG_A_KOTAGEDE</t>
  </si>
  <si>
    <t>YOG_A_JOMBLANG</t>
  </si>
  <si>
    <t>YOG_A_PARANGTRITIS</t>
  </si>
  <si>
    <t>BALI_A_UBUD</t>
  </si>
  <si>
    <t>BALI_A_TEGALLALANG</t>
  </si>
  <si>
    <t>BALI_A_TIRTAEMPUL</t>
  </si>
  <si>
    <t>BALI_A_MOUNTBATUR</t>
  </si>
  <si>
    <t>BALI_A_UBUDMONKEYFOREST</t>
  </si>
  <si>
    <t>BALI_A_TANAHLOT</t>
  </si>
  <si>
    <t>BALI_A_ULUWATUTEMPLE</t>
  </si>
  <si>
    <t>BALI_A_KECAKDANCE</t>
  </si>
  <si>
    <t>Java — Pricing Rules</t>
  </si>
  <si>
    <t>BALI_A_NUSAPENIDA</t>
  </si>
  <si>
    <t>Java</t>
  </si>
  <si>
    <t>BALI_A_TEGALWANGI</t>
  </si>
  <si>
    <t>BALI_A_ULUNDANUBERATAN</t>
  </si>
  <si>
    <t>BALI_A_WATERFALLS</t>
  </si>
  <si>
    <t>JAVA_A_YOGYAKARTA &amp; CENTRAL JAVA TEMPLES</t>
  </si>
  <si>
    <t>JAVA_A_MOUNT BROMO &amp; EAST JAVA VOLCANOES</t>
  </si>
  <si>
    <t>JAVA_A_MOUNT IJEN &amp; BANYUWANGI</t>
  </si>
  <si>
    <t>JAVA_A_JAKARTA (GREATER METROPOLITAN AREA)</t>
  </si>
  <si>
    <t>Sumatra — Pricing Rules</t>
  </si>
  <si>
    <t>Sumatra</t>
  </si>
  <si>
    <t>Phuket — Pricing Rules</t>
  </si>
  <si>
    <t>Phuket</t>
  </si>
  <si>
    <t>Thailand</t>
  </si>
  <si>
    <t>THB</t>
  </si>
  <si>
    <t>THB→Local FX</t>
  </si>
  <si>
    <t>Bangkok — Pricing Rules</t>
  </si>
  <si>
    <t>Bangkok</t>
  </si>
  <si>
    <t>SUMATRA_A_BUKIT LAWANG &amp; GUNUNG LEUSER</t>
  </si>
  <si>
    <t>SUMATRA_A_LAKE TOBA &amp; SAMOSIR ISLAND</t>
  </si>
  <si>
    <t>SUMATRA_A_BUKITTINGGI &amp; HARAU VALLEY</t>
  </si>
  <si>
    <t>SUMATRA_A_PULAU WEH (ACEH)</t>
  </si>
  <si>
    <t>BANGKOK_A_RATTANAKOSIN ISLAND (OLD CITY) &amp; RIVERSIDE</t>
  </si>
  <si>
    <t>BANGKOK_A_SUKHUMVIT (NANA TO THONGLOR / EKKAMAI)</t>
  </si>
  <si>
    <t>BANGKOK_A_SIAM &amp; PRATUNAM</t>
  </si>
  <si>
    <t>BANGKOK_A_SILOM &amp; SATHORN</t>
  </si>
  <si>
    <t>BANGKOK_A_CHINATOWN (YAOWARAT) &amp; CHAROENKRUNG</t>
  </si>
  <si>
    <t>Pattaya — Pricing Rules</t>
  </si>
  <si>
    <t>Pattaya</t>
  </si>
  <si>
    <t>PHUKET_A_PATONG BEACH</t>
  </si>
  <si>
    <t>PHUKET_A_KATA &amp; KARON BEACHES</t>
  </si>
  <si>
    <t>PHUKET_A_BANG TAO &amp; LAGUNA</t>
  </si>
  <si>
    <t>PHUKET_A_KAMALA &amp; SURIN BEACHES</t>
  </si>
  <si>
    <t>PHUKET_A_OLD PHUKET TOWN</t>
  </si>
  <si>
    <t>PHUKET_A_RAWAI &amp; NAI HARN</t>
  </si>
  <si>
    <t>PATTAYA_A_CENTRAL PATTAYA &amp; BEACH ROAD</t>
  </si>
  <si>
    <t>BANGKOK_A_NORTH PATTAYA &amp; WONG AMAT</t>
  </si>
  <si>
    <t>BANGKOK_A_JOMTIEN BEACH</t>
  </si>
  <si>
    <t>BANGKOK_A_NA JOMTIEN</t>
  </si>
  <si>
    <t>Krabi — Pricing Rules</t>
  </si>
  <si>
    <t>BANGKOK_A_PRATAMNAK HILL</t>
  </si>
  <si>
    <t>Krabi</t>
  </si>
  <si>
    <t>Phu Quoc — Pricing Rules</t>
  </si>
  <si>
    <t>Phu Quoc</t>
  </si>
  <si>
    <t>Vietnam</t>
  </si>
  <si>
    <t>VND</t>
  </si>
  <si>
    <t>VND→Local FX</t>
  </si>
  <si>
    <t>KRABI_A_AO NANG BEACH</t>
  </si>
  <si>
    <t>KRABI_A_RAILAY PENINSULA &amp; TONSAI</t>
  </si>
  <si>
    <t>KRABI_A_KLONG MUANG BEACH</t>
  </si>
  <si>
    <t>KRABI_A_TUBKAAK BEACH</t>
  </si>
  <si>
    <t>KRABI_A_KRABI TOWN</t>
  </si>
  <si>
    <t>PQC_A_GRAND_WORLD</t>
  </si>
  <si>
    <t>PQC_A_VINWONDERS</t>
  </si>
  <si>
    <t>PQC_A_SAFARI_PARK</t>
  </si>
  <si>
    <t>Na Trang — Pricing Rules</t>
  </si>
  <si>
    <t>PQC_A_SUNSET_TOWN</t>
  </si>
  <si>
    <t>Na Trang</t>
  </si>
  <si>
    <t>PQC_A_HON_THOM_CABLE_CAR</t>
  </si>
  <si>
    <t>PQC_A_SAO_BEACH</t>
  </si>
  <si>
    <t>PQC_A_LONG_BEACH</t>
  </si>
  <si>
    <t>PQC_A_DAI_BEACH</t>
  </si>
  <si>
    <t>PQC_A_PEPPER_FARM</t>
  </si>
  <si>
    <t>PQC_A_PEANL_FARM</t>
  </si>
  <si>
    <t>PQC_A_FISH_SAUCE_FACTORY</t>
  </si>
  <si>
    <t>PQC_A_NIGHT_MARKET</t>
  </si>
  <si>
    <t>PQC_A_SUOI_TRANH_WATERFALL</t>
  </si>
  <si>
    <t>Ha Long Bay — Pricing Rules</t>
  </si>
  <si>
    <t>PQC_A_COCO_NUT_PRISON</t>
  </si>
  <si>
    <t>Ha Long Bay</t>
  </si>
  <si>
    <t>Ho Chi Minh — Pricing Rules</t>
  </si>
  <si>
    <t>NHA_A_VINWONDERS_NHA_TRANG</t>
  </si>
  <si>
    <t>Ho Chi Minh</t>
  </si>
  <si>
    <t>NHA_A_NHA_TRANG_BEACH</t>
  </si>
  <si>
    <t>NHA_A_PONAGAR_TOWERS</t>
  </si>
  <si>
    <t>NHA_A_LONG_SON_PAGODA</t>
  </si>
  <si>
    <t>NHA_A_NHA_TRANG_CATHEDRAL</t>
  </si>
  <si>
    <t>NHA_A_ISLAND_HOPPING_TOUR</t>
  </si>
  <si>
    <t>DAD_A_BANA_HILLS</t>
  </si>
  <si>
    <t>NHA_A_HON_CHONG_ROCKS</t>
  </si>
  <si>
    <t>DAD_A_MARBLE_MOUNTAINS</t>
  </si>
  <si>
    <t>NHA_A_BA_HO_WATERFALL</t>
  </si>
  <si>
    <t>DAD_A_DRAGON_BRIDGE</t>
  </si>
  <si>
    <t>DAD_A_MY_KHE_BEACH</t>
  </si>
  <si>
    <t>NHA_A_100_EGGS_MUD_BATH</t>
  </si>
  <si>
    <t>DAD_A_HAN_RIVER_BRIDGE</t>
  </si>
  <si>
    <t>DAD_A_DA_NANG_MUSEUM</t>
  </si>
  <si>
    <t>NHA_A_NHA_TRANG_NIGHT_MARKET</t>
  </si>
  <si>
    <t>DAD_A_SON_TRA_PENINSULA</t>
  </si>
  <si>
    <t>NHA_A_XIEM_TOWER</t>
  </si>
  <si>
    <t>DAD_APEC_PARK</t>
  </si>
  <si>
    <t>DAD_A_HOI_AN_ANCient_TOWN</t>
  </si>
  <si>
    <t>DAD_A_BA_NA_HILLS_FANTASY_PARK</t>
  </si>
  <si>
    <t>NHA_A_VINPEARL_CABLE_CAR</t>
  </si>
  <si>
    <t>DAD_A_DA_NANG_NIGHT_MARKET</t>
  </si>
  <si>
    <t>SGN_A_BEN_THANH_MARKET</t>
  </si>
  <si>
    <t>DAD_A_LOVE_BRIDGE</t>
  </si>
  <si>
    <t>NHA_A_OCEANARIUM</t>
  </si>
  <si>
    <t>DAD_A_ASIA_PARK</t>
  </si>
  <si>
    <t>NHA_A_DAM_MARKET</t>
  </si>
  <si>
    <t>DAD_A_NON_NUOC_STONE_VILLAGE</t>
  </si>
  <si>
    <t>SGN_A_SAIGON_CENTRAL_POST_OFFICE</t>
  </si>
  <si>
    <t>SGN_A_NOTRE_DAME_CATHEDRAL</t>
  </si>
  <si>
    <t>SGN_A_REUNIFICATION_PALACE</t>
  </si>
  <si>
    <t>SGN_A_WAR_REMNANTS_MUSEUM</t>
  </si>
  <si>
    <t>SGN_A_NGUYEN_HUE_WALKING_STREET</t>
  </si>
  <si>
    <t>SGN_A_BUI_VIEN_STREET</t>
  </si>
  <si>
    <t>SGN_A_SAIGON_RIVER_CRUISE</t>
  </si>
  <si>
    <t>SGN_A_BITEXCO_SKYDECK</t>
  </si>
  <si>
    <t>SGN_A_LANDMARK_81</t>
  </si>
  <si>
    <t>SGN_A_CHOLON_CHINATOWN</t>
  </si>
  <si>
    <t>SGN_A_JADE_EMPEROR_PAGODA</t>
  </si>
  <si>
    <t>SGN_A_CU_CHI_TUNNELS</t>
  </si>
  <si>
    <t>Sapa — Pricing Rules</t>
  </si>
  <si>
    <t>Bau Trang — Pricing Rules</t>
  </si>
  <si>
    <t>Sapa</t>
  </si>
  <si>
    <t>France</t>
  </si>
  <si>
    <t>Mekong Delta — Pricing Rules</t>
  </si>
  <si>
    <t>Mekong Delta</t>
  </si>
  <si>
    <t>BTG_A_WHITE_SAND_DUNES</t>
  </si>
  <si>
    <t>BTG_A_RED_SAND_DUNES</t>
  </si>
  <si>
    <t>BTG_A_LOTUS_LAKE</t>
  </si>
  <si>
    <t>BTG_A_FISHING_VILLAGE</t>
  </si>
  <si>
    <t>SPA_A_FANSIPAN_PEAK</t>
  </si>
  <si>
    <t>BTG_A_FAIRY_STREAM</t>
  </si>
  <si>
    <t>BTG_A_JEEP_4X4_TOUR</t>
  </si>
  <si>
    <t>SPA_A_MUONG_HOA_VALLEY</t>
  </si>
  <si>
    <t>BTG_A_SUNRISE_VIEWPOINT</t>
  </si>
  <si>
    <t>BTG_A_SUNSET_VIEWPOINT</t>
  </si>
  <si>
    <t>SPA_A_SAPA_TOWN</t>
  </si>
  <si>
    <t>BTG_A_ATV_ADVENTURE</t>
  </si>
  <si>
    <t>SPA_A_CAT_CAT_VILLAGE</t>
  </si>
  <si>
    <t>BTG_A_MUI_NE_BEACH</t>
  </si>
  <si>
    <t>MEKONG_DELTA_A_CAN THO</t>
  </si>
  <si>
    <t>SPA_A_TA_PHIN_VILLAGE</t>
  </si>
  <si>
    <t>BTG_A_PO_SHA_NU_TOWER</t>
  </si>
  <si>
    <t>SPA_A_LAO_CHAI_VILLAGE</t>
  </si>
  <si>
    <t>BTG_A_MUI_NE_NIGHT_MARKET</t>
  </si>
  <si>
    <t>SPA_A_TA_VAN_VILLAGE</t>
  </si>
  <si>
    <t>BTG_A_WIND_TURBINE_FIELDS</t>
  </si>
  <si>
    <t>MEKONG_DELTA_A_BEN TRE</t>
  </si>
  <si>
    <t>SPA_A_LOVE_WATERFALL</t>
  </si>
  <si>
    <t>BTG_A_RED_CANYON</t>
  </si>
  <si>
    <t>SPA_A_SILVER_WATERFALL</t>
  </si>
  <si>
    <t>MEKONG_DELTA_A_MY THO</t>
  </si>
  <si>
    <t>MEKONG_DELTA_A_CAI BE</t>
  </si>
  <si>
    <t>SPA_A_SAPA_MARKET</t>
  </si>
  <si>
    <t>MEKONG_DELTA_A_CHAU DOC</t>
  </si>
  <si>
    <t>SPA_A_SAPA_MOUNTAIN_TREKKING</t>
  </si>
  <si>
    <t>MEKONG_DELTA_A_SA DEC</t>
  </si>
  <si>
    <t>SPA_A_MUONG_HOA_RAILWAY</t>
  </si>
  <si>
    <t>MEKONG_DELTA_A_TRA VINH</t>
  </si>
  <si>
    <t>MEKONG_DELTA_A_SOC TRANG</t>
  </si>
  <si>
    <t>SPA_A_HAM_RONG_MOUNTAIN</t>
  </si>
  <si>
    <t>MEKONG_DELTA_A_BAC LIEU</t>
  </si>
  <si>
    <t>SPA_A_SAPA_NIGHT_MARKET</t>
  </si>
  <si>
    <t>MEKONG_DELTA_A_CA MAU</t>
  </si>
  <si>
    <t>MEKONG_DELTA_A_LONG XUYEN</t>
  </si>
  <si>
    <t>MEKONG_DELTA_A_HA TIEN</t>
  </si>
  <si>
    <t>Danang — Pricing Rules</t>
  </si>
  <si>
    <t>Danang</t>
  </si>
  <si>
    <t>Hanoi — Pricing Rules</t>
  </si>
  <si>
    <t>Hanoi</t>
  </si>
  <si>
    <t>Batu Caves — Pricing Rules</t>
  </si>
  <si>
    <t>HAN_A_HOAN_KIEM_LAKE</t>
  </si>
  <si>
    <t>Batu Caves</t>
  </si>
  <si>
    <t>Penang — Pricing Rules</t>
  </si>
  <si>
    <t>Malaysia</t>
  </si>
  <si>
    <t>HAN_A_OLD_QUARTER</t>
  </si>
  <si>
    <t>MYR</t>
  </si>
  <si>
    <t>MYR→Local FX</t>
  </si>
  <si>
    <t>Penang</t>
  </si>
  <si>
    <t>HAN_A_HO_CHI_MINH_COMPLEX</t>
  </si>
  <si>
    <t>HAN_A_TEMPLE_OF_LITERATURE</t>
  </si>
  <si>
    <t>HAN_A_WEST_LAKE_TAY_HO</t>
  </si>
  <si>
    <t>HAN_A_FRENCH_QUARTER</t>
  </si>
  <si>
    <t>HAN_A_HANOI_CITADEL</t>
  </si>
  <si>
    <t>HAN_A_HOA_LO_PRISON</t>
  </si>
  <si>
    <t>HAN_A_TRAIN_STREET</t>
  </si>
  <si>
    <t>HAN_A_WATER_PUPPET_THEATRE</t>
  </si>
  <si>
    <t>HAN_A_LONG_BIEN_BRIDGE</t>
  </si>
  <si>
    <t>HAN_A_BAT_TRANG_VILLAGE</t>
  </si>
  <si>
    <t>HAN_A_VAN_PHUC_VILLAGE</t>
  </si>
  <si>
    <t>HAN_A_DONG_XUAN_MARKET</t>
  </si>
  <si>
    <t>BATU_CAVES_A_CATHEDRAL CAVE &amp; RAINBOW STAIRS (TEMPLE CAVE)</t>
  </si>
  <si>
    <t>BATU_CAVES_A_RAMAYANA CAVE</t>
  </si>
  <si>
    <t>BATU_CAVES_A_CAVE VILLA</t>
  </si>
  <si>
    <t>Langkawi — Pricing Rules</t>
  </si>
  <si>
    <t>BATU_CAVES_A_GROUND PLAZA &amp; STATION PRECINCT</t>
  </si>
  <si>
    <t>Langkawi</t>
  </si>
  <si>
    <t>PENANG_A_GEORGE TOWN HERITAGE CORE</t>
  </si>
  <si>
    <t>PENANG_A_PENANG HILL &amp; AIR ITAM</t>
  </si>
  <si>
    <t>PENANG_A_BATU FERRINGHI &amp; NORTH COAST</t>
  </si>
  <si>
    <t>PENANG_A_GURNEY DRIVE &amp; TANJUNG TOKONG</t>
  </si>
  <si>
    <t>LANGKAWI_A_PANTAI CENANG &amp; PANTAI TENAGH</t>
  </si>
  <si>
    <t>LANGKAWI_A_TANJUNG RHU</t>
  </si>
  <si>
    <t>LANGKAWI_A_DATAI BAY</t>
  </si>
  <si>
    <t>LANGKAWI_A_KUAH TOWN</t>
  </si>
  <si>
    <t>Cameron Highlands — Pricing Rules</t>
  </si>
  <si>
    <t>Cameron Highlands</t>
  </si>
  <si>
    <t>Kuala Lumpur — Pricing Rules</t>
  </si>
  <si>
    <t>Kuala Lumpur</t>
  </si>
  <si>
    <t>CAMERON_HIGHLANDS_A_TANAH RATA</t>
  </si>
  <si>
    <t>CAMERON_HIGHLANDS_A_BRINCHANG</t>
  </si>
  <si>
    <t>El Nido — Pricing Rules</t>
  </si>
  <si>
    <t>CAMERON_HIGHLANDS_A_KEA FARM &amp; TRINGKAP</t>
  </si>
  <si>
    <t>El Nido</t>
  </si>
  <si>
    <t>CAMERON_HIGHLANDS_A_RINGLET &amp; LAKEHOUSE AREA</t>
  </si>
  <si>
    <t>Phillipines</t>
  </si>
  <si>
    <t>PHP</t>
  </si>
  <si>
    <t>PHP→Local FX</t>
  </si>
  <si>
    <t>KUALA_LUMPUR_A_BUKIT BINTANG &amp; KLCC</t>
  </si>
  <si>
    <t>EL_NIDO_A_EL NIDO TOWN (POBLACION)</t>
  </si>
  <si>
    <t>KUALA_LUMPUR_A_CHINATOWN (PETALING STREET) &amp; MERDEKA SQUARE</t>
  </si>
  <si>
    <t>EL_NIDO_A_CORONG-CORONG &amp; BAPANG</t>
  </si>
  <si>
    <t>KUALA_LUMPUR_A_BRICKFIELDS (LITTLE INDIA) &amp; KL SENTRAL</t>
  </si>
  <si>
    <t>EL_NIDO_A_LAS CABAÑAS &amp; MARIMEGMEG BEACH</t>
  </si>
  <si>
    <t>KUALA_LUMPUR_A_BANGSAR &amp; MONT KIARA</t>
  </si>
  <si>
    <t>EL_NIDO_A_NACPAN BEACH &amp; NORTHERN EL NIDO</t>
  </si>
  <si>
    <t>KUALA_LUMPUR_A_CHOW KIT &amp; KAMPUNG BARRU</t>
  </si>
  <si>
    <t>Bohol — Pricing Rules</t>
  </si>
  <si>
    <t>Bohol</t>
  </si>
  <si>
    <t>Cebu — Pricing Rules</t>
  </si>
  <si>
    <t>Cebu</t>
  </si>
  <si>
    <t>BOHOL_A_PANGLAO ISLAND (ALONA BEACH &amp; DUMALUAN)</t>
  </si>
  <si>
    <t>BOHOL_A_CENTRAL COUNTRYSIDE (LOBOC, CARMEN, &amp; CORELLA)</t>
  </si>
  <si>
    <t>BOHOL_A_ANDA PENINSULA &amp; EASTERN BOHOL</t>
  </si>
  <si>
    <t>BOHOL_A_TAGBILARAN CITY &amp; BACLAYON</t>
  </si>
  <si>
    <t>Manila — Pricing Rules</t>
  </si>
  <si>
    <t>Manila</t>
  </si>
  <si>
    <t>Boracay — Pricing Rules</t>
  </si>
  <si>
    <t>Boracay</t>
  </si>
  <si>
    <t>CEBU_A_CEBU CITY (METRO CEBU)</t>
  </si>
  <si>
    <t>MANILA_A_INTRAMUROS &amp; BINONDO (HISTORIC MANILA)</t>
  </si>
  <si>
    <t>CEBU_A_MACTAN ISLAND (LAPU-LAPU CITY)</t>
  </si>
  <si>
    <t>MANILA_A_BONIFACIO GLOBAL CITY (BGC) &amp; TAGUIG</t>
  </si>
  <si>
    <t>MANILA_A_MAKATI (CBD &amp; POBLACION)</t>
  </si>
  <si>
    <t>CEBU_A_MOALBOAL (PANAGSAMA &amp; WHITE BEACH)</t>
  </si>
  <si>
    <t>MANILA_A_BAY CITY (PASAY &amp; MANILA BAYWALK)</t>
  </si>
  <si>
    <t>CEBU_A_BANTAYAN ISLAND &amp; NORTHERN CEBU</t>
  </si>
  <si>
    <t>BORACAY_A_WHITE BEACH (STATION 1)</t>
  </si>
  <si>
    <t>BORACAY_A_WHITE BEACH (STATION 2)</t>
  </si>
  <si>
    <t>BORACAY_A_WHITE BEACH (STATION 3)</t>
  </si>
  <si>
    <t>BORACAY_A_BULABOG BEACH</t>
  </si>
  <si>
    <t>BORACAY_A_PUKA SHELL BEACH &amp; NORTHERN BORACAY</t>
  </si>
  <si>
    <t>Phnom Penh — Pricing Rules</t>
  </si>
  <si>
    <t>Phnom Penh</t>
  </si>
  <si>
    <t>Cambodia</t>
  </si>
  <si>
    <t>KHR</t>
  </si>
  <si>
    <t>KHR→Local FX</t>
  </si>
  <si>
    <t>Angkor Wat — Pricing Rules</t>
  </si>
  <si>
    <t>PHNOM_PENH_A_RIVERSIDE (SISOWATH QUAY) &amp; ROYAL PALACE</t>
  </si>
  <si>
    <t>Angkor Wat</t>
  </si>
  <si>
    <t>PHNOM_PENH_A_BKK1 (BOENG KENG KANG 1)</t>
  </si>
  <si>
    <t>PHNOM_PENH_A_TUOL TOMPOUNG (RUSSIAN MARKET DISTRICT)</t>
  </si>
  <si>
    <t>ANGKOR_WAT_A_ANGKOR WAT &amp; CENTRAL ANGKOR WAT COMPLEX</t>
  </si>
  <si>
    <t>PHNOM_PENH_A_CENTRAL MARKET (PHSAR THMEI) &amp; DOWNTOWN</t>
  </si>
  <si>
    <t>ANGKOR_WAT_A_ANGKOR THOM &amp; BAYON TEMPLE</t>
  </si>
  <si>
    <t>ANGKOR_WAT_A_TA PROHM &amp; EASTERN TEMPLES</t>
  </si>
  <si>
    <t>ANGKOR_WAT_A_BANTEAY SREI &amp; OUTER TEMPLES</t>
  </si>
  <si>
    <t>Singapore — Pricing Rules</t>
  </si>
  <si>
    <t>Singapore</t>
  </si>
  <si>
    <t>SIN_A_GARDENSBYTHEBAY</t>
  </si>
  <si>
    <t>SIN_A_MARINABAYSANDSSKYPARK</t>
  </si>
  <si>
    <t>SIN_A_MERLIONPARK</t>
  </si>
  <si>
    <t>London — Pricing Rules</t>
  </si>
  <si>
    <t>SIN_A_SENTOSA</t>
  </si>
  <si>
    <t>SIN_A_UNIVERSALSTUDIOS</t>
  </si>
  <si>
    <t>London</t>
  </si>
  <si>
    <t>United Kingdom</t>
  </si>
  <si>
    <t>SIN_A_SINGAPOREZOO</t>
  </si>
  <si>
    <t>GBP</t>
  </si>
  <si>
    <t>GBP→Local FX</t>
  </si>
  <si>
    <t>SIN_A_NIGHTSAFARI</t>
  </si>
  <si>
    <t>SIN_A_CHINATOWN</t>
  </si>
  <si>
    <t>SIN_A_LITTLEINDIA</t>
  </si>
  <si>
    <t>SIN_A_KAMPONGGLAM</t>
  </si>
  <si>
    <t>Manchester — Pricing Rules</t>
  </si>
  <si>
    <t>SIN_A_CLARKEQUAY</t>
  </si>
  <si>
    <t>SIN_A_SINGAPORERIVERCRUISE</t>
  </si>
  <si>
    <t>Manchester</t>
  </si>
  <si>
    <t>SIN_A_BOTANICGARDENS</t>
  </si>
  <si>
    <t>SIN_A_JEWELCHANGI</t>
  </si>
  <si>
    <t>MANCHESTER_A_NORTHERN QUARTER</t>
  </si>
  <si>
    <t>MANCHESTER_A_CASTLEFIELD</t>
  </si>
  <si>
    <t>MANCHESTER_A_ANCOATS &amp; NEW ISLINGTON</t>
  </si>
  <si>
    <t>MANCHESTER_A_SPINNINGFIELDS &amp; DEANSGATE</t>
  </si>
  <si>
    <t>LONDON_A_WESTMINSTER &amp; ST. JAMES'S</t>
  </si>
  <si>
    <t>LONDON_A_COVENT GARDEN &amp; SOHO (THE WEST END)</t>
  </si>
  <si>
    <t>LONDON_A_SOUTH KENSINGTON &amp; KENSINGTON</t>
  </si>
  <si>
    <t>LONDON_A_SOUTH BANK &amp; BANK SIDE</t>
  </si>
  <si>
    <t>LONDON_A_SHOREDITCH &amp; HOXTON</t>
  </si>
  <si>
    <t>Liverpool — Pricing Rules</t>
  </si>
  <si>
    <t>Liverpool</t>
  </si>
  <si>
    <t>Edinburg — Pricing Rules</t>
  </si>
  <si>
    <t>Edinburg</t>
  </si>
  <si>
    <t>Europe</t>
  </si>
  <si>
    <t>EUR</t>
  </si>
  <si>
    <t>Baseline EUR</t>
  </si>
  <si>
    <t>LIVERPOOL_A_ROYAL ALBERT DOCK &amp; WATERFRONT</t>
  </si>
  <si>
    <t>LIVERPOOL_A_ROPEWALKS &amp; BOLD STREET</t>
  </si>
  <si>
    <t>LIVERPOOL_A_BALTIC TRIANGLE</t>
  </si>
  <si>
    <t>LIVERPOOL_A_CITY CENTRE &amp; COMMERCIAL DISTRICT (CASTLE STREET)</t>
  </si>
  <si>
    <t>Dublin — Pricing Rules</t>
  </si>
  <si>
    <t>Dublin</t>
  </si>
  <si>
    <t>EDINBURGH_A_CASTLE_ROYAL_MILE_CORE</t>
  </si>
  <si>
    <t>EDINBURGH_A_HOLYROOD_ARTHURS_SEAT_CORE</t>
  </si>
  <si>
    <t>EDINBURGH_A_NATIONAL_MUSEUM_GREYFRIARS_CORE</t>
  </si>
  <si>
    <t>EDINBURGH_A_NEW_TOWN_PRINCES_STREET_CORE</t>
  </si>
  <si>
    <t>EDINBURGH_A_CALTON_HILL_CORE</t>
  </si>
  <si>
    <t>EDINBURGH_A_STOCKBRIDGE_BOTANICS_CORE</t>
  </si>
  <si>
    <t>EDINBURGH_A_DEAN_VILLAGE_WEST_END_CORE</t>
  </si>
  <si>
    <t>EDINBURGH_A_LEITH_BRITANNIA_CORE</t>
  </si>
  <si>
    <t>u</t>
  </si>
  <si>
    <t>EDINBURGH_A_SOUTHSIDE_MEADOWS_CORE</t>
  </si>
  <si>
    <t>EDINBURGH_A_PORTOBELLO_CORE</t>
  </si>
  <si>
    <t>EDINBURGH_A_CORSTORPHINE_ZOO_CORE</t>
  </si>
  <si>
    <t>DUBLIN_A_TRINITY_GRAFTON_CORE</t>
  </si>
  <si>
    <t>EDINBURGH_A_MODERN_ART_WATER_OF_LEITH_CORE</t>
  </si>
  <si>
    <t>DUBLIN_A_TEMPLE_BAR_LIFFEY_CORE</t>
  </si>
  <si>
    <t>DUBLIN_A_MEDIEVAL_CATHEDRALS_CORE</t>
  </si>
  <si>
    <t>DUBLIN_A_CASTLE_CHESTER_BEATTY_CORE</t>
  </si>
  <si>
    <t>DUBLIN_A_GUINNESS_LIBERTIES_CORE</t>
  </si>
  <si>
    <t>DUBLIN_A_KILMAINHAM_IMMA_CORE</t>
  </si>
  <si>
    <t>DUBLIN_A_GEORGIAN_MERRION_CORE</t>
  </si>
  <si>
    <t>DUBLIN_A_ST_STEPHENS_SOUTH_CORE</t>
  </si>
  <si>
    <t>DUBLIN_A_OCONNELL_NORTH_CORE</t>
  </si>
  <si>
    <t>DUBLIN_A_DOCKLANDS_EPIC_CORE</t>
  </si>
  <si>
    <t>DUBLIN_A_PHOENIX_PARK_CORE</t>
  </si>
  <si>
    <t>DUBLIN_A_HOWTH_BAY_CORE</t>
  </si>
  <si>
    <t>Venice — Pricing Rules</t>
  </si>
  <si>
    <t>Venice</t>
  </si>
  <si>
    <t>FRANCE_A_PARIS_ILEDEFRANCE</t>
  </si>
  <si>
    <t>FRANCE_A_NORMANDY_MONTSAINTMICHEL_DDAY</t>
  </si>
  <si>
    <t>FRANCE_A_BRITTANY_ATLANTIC_HERITAGE_COAST</t>
  </si>
  <si>
    <t>FRANCE_A_LOIRE_VALLEY_CHATEAUX</t>
  </si>
  <si>
    <t>FRANCE_A_CHAMPAGNE_REIMS_EPERNAY</t>
  </si>
  <si>
    <t>FRANCE_A_ALSACE_STRASBOURG_WINE_ROUTE</t>
  </si>
  <si>
    <t>VENICE_A_SAN_MARCO_DOGES_PALACE_CORE</t>
  </si>
  <si>
    <t>FRANCE_A_BURGUNDY_DIJON_BEAUNE</t>
  </si>
  <si>
    <t>FRANCE_A_BORDEAUX_SAINTEMILION</t>
  </si>
  <si>
    <t>VENICE_A_RIALTO_SAN_POLO_CORE</t>
  </si>
  <si>
    <t>FRANCE_A_PROVENCE_AVIGNON_AIX_LUBERON</t>
  </si>
  <si>
    <t>FRANCE_A_FRENCH_RIVIERA_NICE_CANNES</t>
  </si>
  <si>
    <t>VENICE_A_DORSODURO_ACCADEMIA_SALUTE_CORE</t>
  </si>
  <si>
    <t>FRANCE_A_FRENCH_ALPS_MONTBLANC</t>
  </si>
  <si>
    <t>VENICE_A_CANNAREGIO_JEWISH_GHETTO_CORE</t>
  </si>
  <si>
    <t>VENICE_A_CASTELLO_ARSENALE_BIENNALE_CORE</t>
  </si>
  <si>
    <t>VENICE_A_SANTA_CROCE_SANTA_LUCIA_CORE</t>
  </si>
  <si>
    <t>VENICE_A_GIUDECCA_SAN_GIORGIO_CORE</t>
  </si>
  <si>
    <t>VENICE_A_MURANO_GLASS_CORE</t>
  </si>
  <si>
    <t>VENICE_A_BURANO_LACE_COLOR_CORE</t>
  </si>
  <si>
    <t>VENICE_A_TORCELLO_EARLY_VENICE_CORE</t>
  </si>
  <si>
    <t>FRANCE_A_PYRENEES_MOUNTAIN_CORRIDOR</t>
  </si>
  <si>
    <t>VENICE_A_LIDO_BEACH_FILM_CORE</t>
  </si>
  <si>
    <t>FRANCE_A_CORSICA_MEDITERRANEAN_ISLAND</t>
  </si>
  <si>
    <t>VENICE_A_GRAND_CANAL_PALAZZI_CORE</t>
  </si>
  <si>
    <t>FRANCE_A_BIARRITZ_BASQUE_COUNTRY</t>
  </si>
  <si>
    <t>FRANCE_A_ATLANTIC_COAST</t>
  </si>
  <si>
    <t>FRANCE_A_OCCITANIE_TOULOUSE_CARCASSONNE</t>
  </si>
  <si>
    <t>Spain— Pricing Rules</t>
  </si>
  <si>
    <t>Spain</t>
  </si>
  <si>
    <t>Portugal— Pricing Rules</t>
  </si>
  <si>
    <t>Portugal</t>
  </si>
  <si>
    <t>Rome — Pricing Rules</t>
  </si>
  <si>
    <t>Rome</t>
  </si>
  <si>
    <t>SPAIN_A_MADRID_CULTURAL_CORE</t>
  </si>
  <si>
    <t>SPAIN_A_BARCELONA_GAUDI_MEDITERRANEAN</t>
  </si>
  <si>
    <t>SPAIN_A_SEVILLE_ANDALUSIAN_CORE</t>
  </si>
  <si>
    <t>PORTUGAL_A_LISBON_CULTURAL_CORE</t>
  </si>
  <si>
    <t>SPAIN_A_GRANADA_ALHAMBRA_ALBAICIN</t>
  </si>
  <si>
    <t>SPAIN_A_CORDOBA_MOSQUE_CATHEDRAL</t>
  </si>
  <si>
    <t>PORTUGAL_A_BELEM_MARITIME_HERITAGE</t>
  </si>
  <si>
    <t>SPAIN_A_VALENCIA_CITY_SCIENCE_COAST</t>
  </si>
  <si>
    <t>PORTUGAL_A_SINTRA_ROYAL_PALACES</t>
  </si>
  <si>
    <t>SPAIN_A_MALAGA_COSTA_DEL_SOL</t>
  </si>
  <si>
    <t>Germany— Pricing Rules</t>
  </si>
  <si>
    <t>PORTUGAL_A_PORTO_HISTORIC_CENTER</t>
  </si>
  <si>
    <t>PORTUGAL_A_GAIA_PORT_CELLARS</t>
  </si>
  <si>
    <t>Germany</t>
  </si>
  <si>
    <t>PORTUGAL_A_DOURO_VALLEY_WINE_REGION</t>
  </si>
  <si>
    <t>SPAIN_A_BILBAO_BASQUE_COUNTRY</t>
  </si>
  <si>
    <t>PORTUGAL_A_CENTRAL_ALGARVE_COASTAL_CLIFFS</t>
  </si>
  <si>
    <t>SPAIN_A_SANTIAGO_COMPOSTELA_GALICIA</t>
  </si>
  <si>
    <t>PORTUGAL_A_WESTERN_ALGARVE_LAGOS</t>
  </si>
  <si>
    <t>SPAIN_A_MALLORCA_BALEARIC_ISLANDS</t>
  </si>
  <si>
    <t>PORTUGAL_A_EVORA_ALENTEJO_HERITAGE</t>
  </si>
  <si>
    <t>SPAIN_A_CANARY_ISLANDS</t>
  </si>
  <si>
    <t>PORTUGAL_A_COIMBRA_ACADEMIC_CAPITAL</t>
  </si>
  <si>
    <t>SPAIN_A_COSTA_BRAVA</t>
  </si>
  <si>
    <t>PORTUGAL_A_AVEIRO_CANALS_COSTA_NOVA</t>
  </si>
  <si>
    <t>PORTUGAL_A_NAZARE_BIG_WAVES</t>
  </si>
  <si>
    <t>PORTUGAL_A_PENEDA_GERES_NATIONAL_PARK</t>
  </si>
  <si>
    <t>ROME_A_COLOSSEUM_FORUM_PALATINE_CORE</t>
  </si>
  <si>
    <t>ROME_A_VATICAN_CITY_PRATI_CORE</t>
  </si>
  <si>
    <t>ROME_A_PANTHEON_NAVONA_CAMPO_CORE</t>
  </si>
  <si>
    <t>ROME_A_TREVI_SPANISH_STEPS_TRIDENT_CORE</t>
  </si>
  <si>
    <t>ROME_A_TRASTEVERE_GIANICOLO_CORE</t>
  </si>
  <si>
    <t>ROME_A_MONTI_IMPERIAL_FORA_CORE</t>
  </si>
  <si>
    <t>ROME_A_VILLA_BORGHESE_POPOLO_CORE</t>
  </si>
  <si>
    <t>ROME_A_CAPITOLINE_VENEZIA_GHETTO_CORE</t>
  </si>
  <si>
    <t>ROME_A_APPIAN_WAY_CATACOMBS_CORE</t>
  </si>
  <si>
    <t>ROME_A_TESTACCIO_AVENTINE_CORE</t>
  </si>
  <si>
    <t>ROME_A_LATERAN_ESQUILINO_BASILICAS_CORE</t>
  </si>
  <si>
    <t>GERMANY_A_BERLIN_POTSDAM</t>
  </si>
  <si>
    <t>ROME_A_OSTIA_ANTICA_CORE</t>
  </si>
  <si>
    <t>GERMANY_A_MUNICH_BAVARIA</t>
  </si>
  <si>
    <t>GERMANY_A_NEUSCHWANSTEIN_ALLGAU_KINGLUDWIG</t>
  </si>
  <si>
    <t>GERMANY_A_ROMANTICROAD_ROTHENBURG_WURZBURG</t>
  </si>
  <si>
    <t>Netherlands— Pricing Rules</t>
  </si>
  <si>
    <t>GERMANY_A_RHINEVALLEY_KOBLENZ_RUDESHEIM_MAINZ</t>
  </si>
  <si>
    <t>Netherlands</t>
  </si>
  <si>
    <t>GERMANY_A_MOSELLE_COCHEM_TRIER</t>
  </si>
  <si>
    <t>GERMANY_A_BLACKFOREST_BADENBADEN_FREIBURG</t>
  </si>
  <si>
    <t>GERMANY_A_BERCHTESGADEN_BAVARIANALPS</t>
  </si>
  <si>
    <t>GERMANY_A_HAMBURG_NORTHERNGERMANY</t>
  </si>
  <si>
    <t>GERMANY_A_DRESDEN_SAXONY_SAXONSWITZERLAND</t>
  </si>
  <si>
    <t>GERMANY_A_COLOGNE_AACHEN_RHINERUHR</t>
  </si>
  <si>
    <t>GERMANY_A_HEIDELBERG_NECKARVALLEY</t>
  </si>
  <si>
    <t>GERMANY_A_BALTIC_NORTHSEA_LUBECK_RUGEN_WADDENSEA</t>
  </si>
  <si>
    <t>GERMANY_A_NUREMBERG_FRANCONIA</t>
  </si>
  <si>
    <t>NETHERLANDS_A_AMSTERDAM</t>
  </si>
  <si>
    <t>Belgium — Pricing Rules</t>
  </si>
  <si>
    <t>NETHERLANDS_A_ROTTERDAM</t>
  </si>
  <si>
    <t>NETHERLANDS_A_THE_HAGUE_SCHEVENINGEN</t>
  </si>
  <si>
    <t>NETHERLANDS_A_UTRECHT</t>
  </si>
  <si>
    <t>Belgium</t>
  </si>
  <si>
    <t>NETHERLANDS_A_DELFT</t>
  </si>
  <si>
    <t>NETHERLANDS_A_KINDERDIJK</t>
  </si>
  <si>
    <t>NETHERLANDS_A_KEUKENHOF_BULB_REGION</t>
  </si>
  <si>
    <t>NETHERLANDS_A_ZAANSE_SCHANS</t>
  </si>
  <si>
    <t>NETHERLANDS_A_WADDEN_ISLANDS</t>
  </si>
  <si>
    <t>NETHERLANDS_A_DUTCH_COAST_ZEELAND</t>
  </si>
  <si>
    <t>NETHERLANDS_A_VELUWE_HOGE_VELUWE</t>
  </si>
  <si>
    <t>NETHERLANDS_A_MAASTRICHT_SOUTH_LIMBURG</t>
  </si>
  <si>
    <t>NETHERLANDS_A_GIETHOORN_WEERRIBBEN</t>
  </si>
  <si>
    <t>BELGIUM_A_BRUSSELS_HISTORIC_CORE</t>
  </si>
  <si>
    <t>BELGIUM_A_BRUSSELS_MUSEUM_ART_NOUVEAU_CORE</t>
  </si>
  <si>
    <t>BELGIUM_A_BRUGES_HISTORIC_CORE</t>
  </si>
  <si>
    <t>BELGIUM_A_GHENT_HISTORIC_CORE</t>
  </si>
  <si>
    <t>BELGIUM_A_ANTWERP_ART_FASHION_CORE</t>
  </si>
  <si>
    <t>BELGIUM_A_LEUVEN_MECHELEN_CORE</t>
  </si>
  <si>
    <t>BELGIUM_A_YPRES_FLANDERS_FIELDS_CORE</t>
  </si>
  <si>
    <t>BELGIUM_A_BELGIAN_COAST_ZWIN_CORE</t>
  </si>
  <si>
    <t>BELGIUM_A_DINANT_NAMUR_MEUSE_CORE</t>
  </si>
  <si>
    <t>BELGIUM_A_ARDENNES_DURBUY_CORE</t>
  </si>
  <si>
    <t>BELGIUM_A_SPA_HIGH_FENS_CORE</t>
  </si>
  <si>
    <t>BELGIUM_A_LIEGE_CORE</t>
  </si>
  <si>
    <t>BELGIUM_A_MONS_HAINAUT_CORE</t>
  </si>
  <si>
    <t>BELGIUM_A_WATERLOO_CORE</t>
  </si>
  <si>
    <t>Switzerland — Pricing Rules</t>
  </si>
  <si>
    <t>Switzerland</t>
  </si>
  <si>
    <t>Austria— Pricing Rules</t>
  </si>
  <si>
    <t>Austria</t>
  </si>
  <si>
    <t>Luxembourg — Pricing Rules</t>
  </si>
  <si>
    <t>Luxembourg</t>
  </si>
  <si>
    <t>LUXEMBOURG_A_LUXEMBOURGCITY_OLDTOWN_FORTIFICATIONS</t>
  </si>
  <si>
    <t>AUSTRIA_A_VIENNA</t>
  </si>
  <si>
    <t>LUXEMBOURG_A_VIANDEN_OURVALLEY</t>
  </si>
  <si>
    <t>LUXEMBOURG_A_MULLERTHAL_LITTLESWITZERLAND</t>
  </si>
  <si>
    <t>AUSTRIA_A_SALZBURG</t>
  </si>
  <si>
    <t>LUXEMBOURG_A_ECHTERNACH_EASTERNHERITAGE</t>
  </si>
  <si>
    <t>LUXEMBOURG_A_BEAUFORT_CASTLE_MULLERTHAL</t>
  </si>
  <si>
    <t>AUSTRIA_A_INNSBRUCK_TIROL</t>
  </si>
  <si>
    <t>LUXEMBOURG_A_EISLEK_ARDENNES</t>
  </si>
  <si>
    <t>AUSTRIA_A_HALLSTATT_SALZKAMMERGUT</t>
  </si>
  <si>
    <t>LUXEMBOURG_A_CLERVAUX_NORTHERNCULTURE</t>
  </si>
  <si>
    <t>AUSTRIA_A_ZELLAMSEE_KAPRUN</t>
  </si>
  <si>
    <t>LUXEMBOURG_A_BOURSCHEID_SUREVALLEY</t>
  </si>
  <si>
    <t>SWITZERLAND_A_ZURICH_LAKEZURICH</t>
  </si>
  <si>
    <t>LUXEMBOURG_A_UPPERSURE_ESCHSURSURE</t>
  </si>
  <si>
    <t>AUSTRIA_A_WACHAU_VALLEY</t>
  </si>
  <si>
    <t>LUXEMBOURG_A_MOSELLE_REMICH_GREVENMACHER</t>
  </si>
  <si>
    <t>AUSTRIA_A_GRAZ_SOUTHSTYRIA</t>
  </si>
  <si>
    <t>LUXEMBOURG_A_SCHENGEN_SOUTHERNMOSELLE</t>
  </si>
  <si>
    <t>LUXEMBOURG_A_GUTTLAND_SEVENCASTLES</t>
  </si>
  <si>
    <t>AUSTRIA_A_HOHETAUERN_GROSSGLOCKNER</t>
  </si>
  <si>
    <t>LUXEMBOURG_A_MINETT_REDROCKS</t>
  </si>
  <si>
    <t>AUSTRIA_A_KITZBUHEL</t>
  </si>
  <si>
    <t>LUXEMBOURG_A_ESCHSURALZETTE_SOUTHERNCULTURE</t>
  </si>
  <si>
    <t>SWITZERLAND_A_MT_TITLIS</t>
  </si>
  <si>
    <t>AUSTRIA_A_OTZTAL_STUBAI</t>
  </si>
  <si>
    <t>LUXEMBOURG_A_BETTEMBOURG_FAMILYLEISURE</t>
  </si>
  <si>
    <t>AUSTRIA_A_CARINTHIAN_LAKES</t>
  </si>
  <si>
    <t>LUXEMBOURG_A_COUNTRYCIRCUIT_CASTLES_NATURE_WINE</t>
  </si>
  <si>
    <t>AUSTRIA_A_BREGENZ_VORARLBERG</t>
  </si>
  <si>
    <t>SWITZERLAND_A_LUCERNE_LAKELUCERNE</t>
  </si>
  <si>
    <t>AUSTRIA_A_GASTEIN_VALLEY</t>
  </si>
  <si>
    <t>SWITZERLAND_A_INTERLAKEN_BERNESEOBERLAND</t>
  </si>
  <si>
    <t>SWITZERLAND_A_JUNGFRAU_GRINDELWALD_LAUTERBRUNNEN</t>
  </si>
  <si>
    <t>SWITZERLAND_A_ZERMATT_MATTERHORN</t>
  </si>
  <si>
    <t>SWITZERLAND_A_BERN_OLDCITY</t>
  </si>
  <si>
    <t>SWITZERLAND_A_MONTREUX_CHILLON_LAVAUX</t>
  </si>
  <si>
    <t>Liechtenstein— Pricing Rules</t>
  </si>
  <si>
    <t>SWITZERLAND_A_GENEVA_LAKEGENEVA</t>
  </si>
  <si>
    <t>SWITZERLAND_A_LAUSANNE_VAUD</t>
  </si>
  <si>
    <t>Liechtenstein</t>
  </si>
  <si>
    <t>SWITZERLAND_A_STMORITZ_ENGADIN</t>
  </si>
  <si>
    <t>CHF</t>
  </si>
  <si>
    <t>CHF→Local FX</t>
  </si>
  <si>
    <t>SWITZERLAND_A_DAVOS_KLOSTERS</t>
  </si>
  <si>
    <t>SWITZERLAND_A_TICINO_LUGANO_LOCARNO</t>
  </si>
  <si>
    <t>SWITZERLAND_A_BASEL_RHINE</t>
  </si>
  <si>
    <t>SWITZERLAND_A_RHINEFALLS_SCHAFFHAUSEN</t>
  </si>
  <si>
    <t>SWITZERLAND_A_APPENZELL_EASTERNSWITZERLAND</t>
  </si>
  <si>
    <t>SWITZERLAND_A_GRANDTRAINTOUR_PANORAMICRAIL</t>
  </si>
  <si>
    <t>LIECHTENSTEIN_A_VADUZ_CULTURAL_CORE</t>
  </si>
  <si>
    <t>LIECHTENSTEIN_A_VADUZ_CASTLE_VINEYARDS</t>
  </si>
  <si>
    <t>LIECHTENSTEIN_A_MALBUN_SAREIS</t>
  </si>
  <si>
    <t>LIECHTENSTEIN_A_TRIESENBERG_WALSER_REGION</t>
  </si>
  <si>
    <t>LIECHTENSTEIN_A_STEG_GANGLESEE</t>
  </si>
  <si>
    <t>LIECHTENSTEIN_A_BALZERS_GUTENBERG_CASTLE</t>
  </si>
  <si>
    <t>LIECHTENSTEIN_A_SCHAAN_DUX</t>
  </si>
  <si>
    <t>LIECHTENSTEIN_A_RUGGELL_UNTERLAND</t>
  </si>
  <si>
    <t>LIECHTENSTEIN_A_SCHELLENBERG</t>
  </si>
  <si>
    <t>LIECHTENSTEIN_A_LIECHTENSTEIN_TRAIL</t>
  </si>
  <si>
    <t>Czech— Pricing Rules</t>
  </si>
  <si>
    <t>Poland — Pricing Rules</t>
  </si>
  <si>
    <t>Czech</t>
  </si>
  <si>
    <t>CZK</t>
  </si>
  <si>
    <t>Poland</t>
  </si>
  <si>
    <t>CZK→Local FX</t>
  </si>
  <si>
    <t>PLN</t>
  </si>
  <si>
    <t>PLN→Local FX</t>
  </si>
  <si>
    <t>Hungary— Pricing Rules</t>
  </si>
  <si>
    <t>Hungary</t>
  </si>
  <si>
    <t>HUF</t>
  </si>
  <si>
    <t>HUF→Local FX</t>
  </si>
  <si>
    <t>CZECHIA_A_PRAGUE_CULTURAL_CORE</t>
  </si>
  <si>
    <t>₹3,150</t>
  </si>
  <si>
    <t>CZECHIA_A_CESKY_KRUMLOV_SOUTH_BOHEMIA</t>
  </si>
  <si>
    <t>₹2,700</t>
  </si>
  <si>
    <t>CZECHIA_A_KARLOVY_VARY_SPA_TRIANGLE</t>
  </si>
  <si>
    <t>₹2,250</t>
  </si>
  <si>
    <t>CZECHIA_A_BRNO_MORAVIAN_CAPITAL</t>
  </si>
  <si>
    <t>CZECHIA_A_SOUTH_MORAVIA_LEDNICE_VALTICE</t>
  </si>
  <si>
    <t>₹1,800</t>
  </si>
  <si>
    <t>CZECHIA_A_KUTNA_HORA_UNESCO_CORE</t>
  </si>
  <si>
    <t>POLAND_A_WARSAW_CAPITAL_HISTORY_CORE</t>
  </si>
  <si>
    <t>₹1,801</t>
  </si>
  <si>
    <t>CZECHIA_A_BOHEMIAN_SWITZERLAND</t>
  </si>
  <si>
    <t>CZECHIA_A_KRKONOSE_MOUNTAINS</t>
  </si>
  <si>
    <t>CZECHIA_A_OLOMOUC_BAROQUE_CORE</t>
  </si>
  <si>
    <t>₹1,350</t>
  </si>
  <si>
    <t>CZECHIA_A_PILSEN_WEST_BOHEMIA</t>
  </si>
  <si>
    <t>CZECHIA_A_MORAVIAN_KARST</t>
  </si>
  <si>
    <t>POLAND_A_KRAKOW_ROYAL_HISTORIC_CORE</t>
  </si>
  <si>
    <t>CZECHIA_A_BOHEMIAN_PARADISE</t>
  </si>
  <si>
    <t>POLAND_A_GDANSK_TRICITY_BALTIC_CORE</t>
  </si>
  <si>
    <t>POLAND_A_WROCLAW_LOWER_SILESIA_CORE</t>
  </si>
  <si>
    <t>POLAND_A_ZAKOPANE_TATRA_MOUNTAINS</t>
  </si>
  <si>
    <t>POLAND_A_WIELICZKA_OSWIECIM_HERITAGE</t>
  </si>
  <si>
    <t>POLAND_A_TORUN_MEDIEVAL_COPERNICUS_CORE</t>
  </si>
  <si>
    <t>POLAND_A_POZNAN_WIELKOPOLSKA_CORE</t>
  </si>
  <si>
    <t>POLAND_A_MASURIA_GREAT_LAKES_REGION</t>
  </si>
  <si>
    <t>POLAND_A_BIALOWIEZA_PODLASIE_NATURE_CORE</t>
  </si>
  <si>
    <t>POLAND_A_MALBORK_POMERANIAN_HERITAGE</t>
  </si>
  <si>
    <t>HUNGARY_A_BUDAPEST_DANUBE_THERMAL_CORE</t>
  </si>
  <si>
    <t>HUNGARY_A_LAKE_BALATON_RESORT_WINE_CORE</t>
  </si>
  <si>
    <t>HUNGARY_A_EGER_CASTLE_WINE_CORE</t>
  </si>
  <si>
    <t>HUNGARY_A_TOKAJ_UNESCO_WINE_REGION</t>
  </si>
  <si>
    <t>HUNGARY_A_PECS_VILLANY_CULTURE_WINE_CORE</t>
  </si>
  <si>
    <t>HUNGARY_A_DEBRECEN_HORTOBAGY_GREAT_PLAIN</t>
  </si>
  <si>
    <t>Romania— Pricing Rules</t>
  </si>
  <si>
    <t>HUNGARY_A_SOPRON_FERTO_HERITAGE_REGION</t>
  </si>
  <si>
    <t>HUNGARY_A_GYOR_PANNONHALMA_ABBEY_CORE</t>
  </si>
  <si>
    <t>HUNGARY_A_SZEGED_TISZA_ART_NOUVEAU</t>
  </si>
  <si>
    <t>Romania</t>
  </si>
  <si>
    <t>HUNGARY_A_GYULA_CASTLE_SPA_CORE</t>
  </si>
  <si>
    <t>HUNGARY_A_BUK_SARVAR_THERMAL_WELLNESS</t>
  </si>
  <si>
    <t>RON</t>
  </si>
  <si>
    <t>RON→Local FX</t>
  </si>
  <si>
    <t>Sweden— Pricing Rules</t>
  </si>
  <si>
    <t>Sweden</t>
  </si>
  <si>
    <t>SEK</t>
  </si>
  <si>
    <t>SEK→Local FX</t>
  </si>
  <si>
    <t>RO_A_BUCHAREST_CAPITAL_CORE</t>
  </si>
  <si>
    <t>RO_A_BRASOV_SINAIA_CARPATHIAN_CASTLES</t>
  </si>
  <si>
    <t>RO_A_SIBIU_SAXON_CULTURAL_CORE</t>
  </si>
  <si>
    <t>RO_A_SIGHISOARA_MEDIEVAL_CITADEL</t>
  </si>
  <si>
    <t>RO_A_CLUJ_SALINA_TURDA_METROPOLIS</t>
  </si>
  <si>
    <t>RO_A_TRANSFAGARASAN_ALPINE_PASS</t>
  </si>
  <si>
    <t>RO_A_DANUBE_DELTA_BIOSPHERE</t>
  </si>
  <si>
    <t>RO_A_BUCOVINA_PAINTED_MONASTERIES</t>
  </si>
  <si>
    <t>RO_A_MARAMURES_WOODEN_CHURCHES</t>
  </si>
  <si>
    <t>SWEDEN_A_STOCKHOLM_ROYAL_ARCHIPELAGO_CORE</t>
  </si>
  <si>
    <t>RO_A_CONSTANTA_MAMAIA_BLACK_SEA</t>
  </si>
  <si>
    <t>SWEDEN_A_GOTHENBURG_WEST_COAST_ARCHIPELAGO</t>
  </si>
  <si>
    <t>RO_A_HUNEDOARA_ALBA_IULIA_CITADELS</t>
  </si>
  <si>
    <t>SWEDEN_A_KIRUNA_ABISKO_ARCTIC_CORE</t>
  </si>
  <si>
    <t>SWEDEN_A_GOTLAND_VISBY_BALTIC_ISLAND</t>
  </si>
  <si>
    <t>SWEDEN_A_MALMO_SKANE_SOUTHERN_CORE</t>
  </si>
  <si>
    <t>SWEDEN_A_DALARNA_SILJAN_TRADITIONAL_SWEDEN</t>
  </si>
  <si>
    <t>SWEDEN_A_HIGH_COAST_UNESCO_NATURE</t>
  </si>
  <si>
    <t>SWEDEN_A_LULEA_GAMMELSTAD_SEA_LAPLAND</t>
  </si>
  <si>
    <t>SWEDEN_A_UPPSALA_HISTORIC_UNIVERSITY_CORE</t>
  </si>
  <si>
    <t>SWEDEN_A_SMALAND_GLASS_FAMILY_CORE</t>
  </si>
  <si>
    <t>SWEDEN_A_OLAND_ISLAND_HERITAGE_NATURE</t>
  </si>
  <si>
    <t>Norway— Pricing Rules</t>
  </si>
  <si>
    <t>Norway</t>
  </si>
  <si>
    <t>NOK</t>
  </si>
  <si>
    <t>NOK→Local FX</t>
  </si>
  <si>
    <t>Finland— Pricing Rules</t>
  </si>
  <si>
    <t>Finland</t>
  </si>
  <si>
    <t>NORWAY_A_OSLO_CAPITAL_CULTURAL_CORE</t>
  </si>
  <si>
    <t>NORWAY_A_BERGEN_FJORD_HANSEATIC_CORE</t>
  </si>
  <si>
    <t>NORWAY_A_FLAM_NAEROYFJORD_SCENIC_RAIL</t>
  </si>
  <si>
    <t>NORWAY_A_GEIRANGER_UNESCO_FJORD_CORE</t>
  </si>
  <si>
    <t>NORWAY_A_STAVANGER_LYSEFJORD_PREIKESTOLEN</t>
  </si>
  <si>
    <t>NORWAY_A_LOFOTEN_ARCTIC_ISLANDS</t>
  </si>
  <si>
    <t>NORWAY_A_TROMSO_NORTHERN_LIGHTS_ARCTIC_CORE</t>
  </si>
  <si>
    <t>NORWAY_A_HARDANGERFJORD_TROLLTUNGA_CORE</t>
  </si>
  <si>
    <t>NORWAY_A_JOTUNHEIMEN_HIGH_MOUNTAINS</t>
  </si>
  <si>
    <t>NORWAY_A_TRONDHEIM_NIDAROS_HISTORIC_CORE</t>
  </si>
  <si>
    <t>NORWAY_A_SVALBARD_HIGH_ARCTIC_CORE</t>
  </si>
  <si>
    <t>NORWAY_A_KRISTIANSAND_SOUTHERN_FAMILY_COAST</t>
  </si>
  <si>
    <t>NORWAY_A_ALTA_NORTH_CAPE_ARCTIC_CORE</t>
  </si>
  <si>
    <t>Denmark— Pricing Rules</t>
  </si>
  <si>
    <t>Denmark</t>
  </si>
  <si>
    <t>DKK</t>
  </si>
  <si>
    <t>DKK→Local FX</t>
  </si>
  <si>
    <t>LAPLAND_A_ROVANIEMI_SANTA_ARCTIC_CORE</t>
  </si>
  <si>
    <t>LAPLAND_A_LEVI_SKI_RESORT_CORE</t>
  </si>
  <si>
    <t>LAPLAND_A_YLLAS_FELLS_NATIONAL_PARK</t>
  </si>
  <si>
    <t>LAPLAND_A_SAARISELKA_UKK_NATIONAL_PARK</t>
  </si>
  <si>
    <t>LAPLAND_A_INARI_SAMI_LAKE_INARI</t>
  </si>
  <si>
    <t>LAPLAND_A_PYHA_LUOSTO_NATIONAL_PARK</t>
  </si>
  <si>
    <t>LAPLAND_A_KEMI_ICEBREAKER_SEA_LAPLAND</t>
  </si>
  <si>
    <t>LAPLAND_A_RANUA_ARCTIC_WILDLIFE</t>
  </si>
  <si>
    <t>LAPLAND_A_SALLA_WILDERNESS_NATIONAL_PARK</t>
  </si>
  <si>
    <t>LAPLAND_A_POSIO_RIISITUNTURI</t>
  </si>
  <si>
    <t>LAPLAND_A_KILPISJARVI_HIGH_FELLS</t>
  </si>
  <si>
    <t>Iceland— Pricing Rules</t>
  </si>
  <si>
    <t>DENMARK_A_COPENHAGEN_CAPITAL_ROYAL_DESIGN_CORE</t>
  </si>
  <si>
    <t>DENMARK_A_AARHUS_ART_HISTORY_CORE</t>
  </si>
  <si>
    <t>Iceland</t>
  </si>
  <si>
    <t>DENMARK_A_ODENSE_FUNEN_HC_ANDERSEN_CORE</t>
  </si>
  <si>
    <t>ISK</t>
  </si>
  <si>
    <t>DENMARK_A_BILLUND_LEGO_FAMILY_CORE</t>
  </si>
  <si>
    <t>ISK→Local FX</t>
  </si>
  <si>
    <t>DENMARK_A_NORTH_ZEALAND_ROYAL_CASTLES_COAST</t>
  </si>
  <si>
    <t>DENMARK_A_ROSKILDE_VIKING_ROYAL_HERITAGE</t>
  </si>
  <si>
    <t>DENMARK_A_SKAGEN_NORTH_JUTLAND_COAST</t>
  </si>
  <si>
    <t>DENMARK_A_BORNHOLM_BALTIC_ISLAND_CORE</t>
  </si>
  <si>
    <t>DENMARK_A_MON_MONSKLINT_NATURE_CORE</t>
  </si>
  <si>
    <t>DENMARK_A_RIBE_WADDEN_SEA_HERITAGE</t>
  </si>
  <si>
    <t>DENMARK_A_AALBORG_LIMFJORD_URBAN_CORE</t>
  </si>
  <si>
    <t>St Petersburg — Pricing Rules</t>
  </si>
  <si>
    <t>St Petersburg</t>
  </si>
  <si>
    <t>Russia</t>
  </si>
  <si>
    <t>RUB</t>
  </si>
  <si>
    <t>RUB→Local FX</t>
  </si>
  <si>
    <t>ICELAND_A_REYKJAVIK_CAPITAL_GEOTHERMAL_CORE</t>
  </si>
  <si>
    <t>ICELAND_A_GOLDEN_CIRCLE_THINGVELLIR_GEYSIR_GULLFOSS</t>
  </si>
  <si>
    <t>ICELAND_A_SOUTH_COAST_WATERFALLS_BLACK_SAND</t>
  </si>
  <si>
    <t>ICELAND_A_VATNAJOKULL_JOKULSARLON_GLACIER_CORE</t>
  </si>
  <si>
    <t>ICELAND_A_SNAEFELLSNES_WEST_ICELAND_CORE</t>
  </si>
  <si>
    <t>ICELAND_A_NORTH_ICELAND_MYVATN_DIAMOND_CIRCLE</t>
  </si>
  <si>
    <t>ICELAND_A_WESTFJORDS_REMOTE_WILDERNESS</t>
  </si>
  <si>
    <t>ICELAND_A_EAST_ICELAND_EASTFJORDS_CORE</t>
  </si>
  <si>
    <t>ICELAND_A_REYKJANES_VOLCANIC_GEOTHERMAL_GATEWAY</t>
  </si>
  <si>
    <t>LED_A_HERMITAGE_WINTER_PALACE_3M_ART_1000_ROOMS_6_BUILDINGS_PALACE_SQUARE_ALEXANDER_COLUMN_ADMIRALTY</t>
  </si>
  <si>
    <t>ICELAND_A_HIGHLANDS_LANDMANNALAUGAR_WILDERNESS</t>
  </si>
  <si>
    <t>LED_A_CHURCH_OF_SAVIOR_ON_SPILLED_BLOOD_MOSAICS + KAZAN_CATHEDRAL + ST_ISAACS_CATHEDRAL_COLONNADE_VIEW + PETER_&amp;_PAUL_FORTRESS_CATHEDRAL_TRUBETSKOY_BASTION_BEACH_NEVA_RIVER</t>
  </si>
  <si>
    <t>LED_A_CANAl_CRUISE_DAY_NIGHT_DRAWBRIDGES_1AM_WHITE_NIGHTS_300_BRIDGES_101_ISLANDS_VENICE_OF_NORTH_NEVA_RIVER_FONTAINKA_MOYKA</t>
  </si>
  <si>
    <t>LED_A_NEVSKY_PROSPECT_4.5KM + SUMMER_GARDEN + RUSSIAN_MUSEUM + FABERGE_MUSEUM + YUSUPOV_PALACE_RASPUTIN + ST_NICHOLAS_NAVAL_CATHEDRAL + NEW_HOLLAND + MARIINSKY_THEATRE_BALLET_OPERA</t>
  </si>
  <si>
    <t>LED_A_PETERHOF_PALACE_FOUNTAINS_150_GRAND_CASCADE_PARK_GULF_OF_FINLAND_HYDROFOIL + CATHERINE_PALACE_PUSHKIN_AMBER_ROOM_PARK_ALEXANDER_PALACE + PAVLOVSK_PALACE_PARK_LARGEST_PARK_EUROPE + ORANIENBAUM + KRONSTADT_NAVAL_ISLAND_FORTRESS_CATHEDRAL + VYBORG_MEDIEVAL</t>
  </si>
  <si>
    <t>Moscow — Pricing Rules</t>
  </si>
  <si>
    <t>Moscow</t>
  </si>
  <si>
    <t>MOW_A_RED_SQUARE_ST_BASILS_KREMLIN_OUTSIDE_GUM_LENIN_MAUSOLEUM_KAZAN_CATHEDRAL_HISTORICAL_MUSEUM_NIKOLSKAYA</t>
  </si>
  <si>
    <t>MOW_A_KREMLIN_INSIDE_ARMOURY_DIAMOND_FUND_CATHEDRAL_SQUARE_ASSUMPTION_ANNUNCIATION_ARCHANGEL_IVAN_TOWER</t>
  </si>
  <si>
    <t>MOW_A_METRO_PALACE_TOUR_KOMSOMOLSKAYA_MAYAKOVSKAYA_NOVOSLOBODSKAYA_KIYEVSKAYA_PARK_POBEDY_ELECTROZAVODSKAYA</t>
  </si>
  <si>
    <t>MOW_A_ZARYADYE_PARK_FLOATING_BRIDGE_MEDIA_CENTER_ICE_CAVE_VIEWS_KREMLIN_ST_BASILS_RIVER</t>
  </si>
  <si>
    <t>MOW_A_TRETYAKOV_GALLERY_OLD_NEW_RUSSIAN_ART_ICONS + PUSHKIN_MUSEUM_FINE_ARTS_EUROPEAN</t>
  </si>
  <si>
    <t>MOW_A_BOLSHOI_THEATRE_BALLET_OPERA + MALY_THEATRE + MOSCOW_ART_THEATRE_CHEKHOV</t>
  </si>
  <si>
    <t>MOW_A_ARBAT_OLD_NEW_ARBAT + CATHEDRAL_OF_CHRIST_THE_SAVIOUR + SPARROW_HILLS_MSU_VIEW + GORKY_PARK + VDNH + KOLOMENSKOYE_WOODEN_PALACE + IZMAILOVO_KREMLIN_MARKET + BUNKER_42_COLD_WAR + GULAG_MUSEUM + VICTORY_PARK_MUSEUM_WWII_POKLONNAYA</t>
  </si>
  <si>
    <t>Teriberka — Pricing Rules</t>
  </si>
  <si>
    <t>Teriberka</t>
  </si>
  <si>
    <t>TRK_A_ARCTIC_OCEAN_BARENTS_SEA_NORTHERNMOST_69N</t>
  </si>
  <si>
    <t>TRK_A_SHIP_CEMETERY_RUSTED_SHIPS_PHOTOGENIC</t>
  </si>
  <si>
    <t>TRK_A_WATERFALL_20M_BARENTS_SEA_CLIFF_INTO_ARCTIC_OCEAN</t>
  </si>
  <si>
    <t>TRK_A_BEACH_ARCTIC_OCEAN_BEACH_SAND_CLIFFS</t>
  </si>
  <si>
    <t>TRK_A_DRAGON_BEACH_BOULDERS_ROUND_BOULDERS</t>
  </si>
  <si>
    <t>TRK_A_TUNDRA_KOLA_PENINSULA_TUNDRA</t>
  </si>
  <si>
    <t>TRK_A_CLIFFS_BARENTS_SEA_CLIFFS_VIEW</t>
  </si>
  <si>
    <t>TRK_A_AURORA_ZERO_LIGHT_SEP_MAR_KP3_5</t>
  </si>
  <si>
    <t>TRK_A_LEVIATHAN_FILM_VILLAGE_2014</t>
  </si>
  <si>
    <t>TRK_A_KING_CRAB_ARCTIC_FISH_SEA_URCHIN</t>
  </si>
  <si>
    <t>TRK_A_SAMI_POMOR_VILLAGE</t>
  </si>
  <si>
    <t>Murmansk — Pricing Rules</t>
  </si>
  <si>
    <t>Murmansk</t>
  </si>
  <si>
    <t>Cappadocia — Pricing Rules</t>
  </si>
  <si>
    <t>MMK_A_ALYOSHA_MONUMENT_35.5M_WWII_HIGHEST_BEYOND_ARCTIC_CIRCLE_VIEW_KOLA_BAY_MUST</t>
  </si>
  <si>
    <t>Cappadocia</t>
  </si>
  <si>
    <t>Turkey</t>
  </si>
  <si>
    <t>TRY</t>
  </si>
  <si>
    <t>TRY→Local FX</t>
  </si>
  <si>
    <t>MMK_A_LENIN_NUCLEAR_ICEBREAKER_FIRST_NUCLEAR_ICEBREAKER_MUSEUM_PORT_MUST</t>
  </si>
  <si>
    <t>MMK_A_MURMANSK_PORT_ICE_FREE_PORT_NUCLEAR_ICEBREAKERS_KOLA_BAY_VIEW_MUST</t>
  </si>
  <si>
    <t>MMK_A_OCEANARIUM_SEALS_SHOW + WWII_MUSEUM + NAVAL_MUSEUM + ART_MUSEUM + REGIONAL_MUSEUM</t>
  </si>
  <si>
    <t>Istanbul — Pricing Rules</t>
  </si>
  <si>
    <t>MMK_A_TERIBERKA_120KM_ARCTIC_OCEAN_BARENTS_SEA_SHIP_CEMETERY_WATERFALL_BEACH_TUNDRA_NORTHERNMOST_MUST</t>
  </si>
  <si>
    <t>MMK_A_SAMI_VILLAGE_LOVOZERO_KOLA_SAMI_CULTURE_POMOR_HUSKY_REINDEER_KING_CRAB_SNOWMOBILE_MUST</t>
  </si>
  <si>
    <t>Istanbul</t>
  </si>
  <si>
    <t>MMK_A_KOLA_PENINSULA_TUNDRA_LOVOZERO_KHIBINY_KIROVSK_KOLA_SAMI_OFFBEAT_ARCTIC_TUNDRA_MUST</t>
  </si>
  <si>
    <t>MMK_A_AURORA_HUNTING_SEP_MAR_KP3_5_ZERO_LIGHT_POLLUTION_TERIBERKA_KOLA_SAMI_TUNDRA_POLAR_NIGHT_BEST_AURORA_MUST</t>
  </si>
  <si>
    <t>MMK_A_KING_CRAB_FISHING + HUSKY + REINDEER + SNOWMOBILE + SAUNA + ARCTIC_FISHING</t>
  </si>
  <si>
    <t>CAV_A_HOT_AIR_BALLOON_#1_WORLD_200_BALLOONS_SUNRISE_FAMOUS_BEST_BALLOON_WORLD_BEST_ADVENTURE_TURKEY_BEST_PHOTOGRAPHY_WORLD_#1_BALLOON</t>
  </si>
  <si>
    <t>CAV_A_FAIRY_CHIMNEYS + LOVE_VALLEY + ROSE_VALLEY + PIGEON_VALLEY + IHLARA_VALLEY + UCHISAR_CASTLE + GOREME + AVANOS + URGUP + BEST_NATURE_TURKEY_BEST_VALLEYS_WORLD_BEST_FAIRY_CHIMNEYS_WORLD</t>
  </si>
  <si>
    <t>CAV_A_GOREME_OPEN_AIR_MUSEUM_UNESCO + UNDERGROUND_CITY_DERINKUYU + KAYMAKLI + UCHISAR_CASTLE + IHLARA_VALLEY + SELIME_MONASTERY + AVANOS_POTTERY + CAVE_HOTELS + MUSEUM_HOTEL + ARGOS + SACRED_HOUSE + HORSE_RIDING + ATV + HIKING</t>
  </si>
  <si>
    <t>IST_A_HAGIA_SOPHIA + BLUE_MOSQUE + TOPKAPI_PALACE + BASILICA_CISTERN + HIPPODROME_FAMOUS_BEST_HISTORY_TURKEY_OTTOMAN_BYZANTINE_BEST_HISTORY_TURKEY</t>
  </si>
  <si>
    <t>IST_A_GRAND_BAZAAR_#1_BAZAAR_WORLD + SPICE_BAZAAR + SULEYMANIYE_MOSQUE + CHORA_CHURCH + DOLMABAHCE_PALACE + GALATA_TOWER + ISTIKLAL_STREET + TAKSIM_SQUARE + BOSPHORUS_BRIDGE + BEYLERBEYI_PALACE</t>
  </si>
  <si>
    <t>IST_A_BOSPHORUS_CRUISE + BOSPHORUS + GALATA_BRIDGE + PRINCES_ISLANDS + KADIKOY + USKUDAR + BESIKTAS + BELGRAD_FOREST + HAMMAM_TURKISH_BATH</t>
  </si>
  <si>
    <t>Santorini — Pricing Rules</t>
  </si>
  <si>
    <t>Santorini</t>
  </si>
  <si>
    <t>JTR_A_OIA + OIA_SUNSET_#1_WORLD + OIA_BLUE_DOMES + CALDERA_VIEW_FAMOUS_BEST_SUNSET_WORLD_BEST_HONEYMOON_WORLD_#1_BEST_ROMANTIC_WORLD_#1_BEST_PHOTOGRAPHY_WORLD_#1</t>
  </si>
  <si>
    <t>JTR_A_FIRA + IMEROVIGLI + FIROSTEFANI + CALDERA_VIEW + CANAVES_OIA + KATIKIES + ANDRONIS + MYSTIQUE + VEDEMA + LUXURY_HOTELS + INFINITY_POOLS + PRIVATE_POOLS</t>
  </si>
  <si>
    <t>JTR_A_RED_BEACH + BLACK_BEACH_PERISSA_KAMARI + WHITE_BEACH + KAMARI_BEACH + PERISSA_BEACH + AKROTIRI_RUINS + ANCIENT_THERA + WINE_TASTING + ASSYRTIKO + SANTO_WINES + SUNSET_CRUISE + CALDERA_CRUISE + VOLCANO + HOT_SPRINGS</t>
  </si>
  <si>
    <t>Athens — Pricing Rules</t>
  </si>
  <si>
    <t>Athens</t>
  </si>
  <si>
    <t>Melbourne — Pricing Rules</t>
  </si>
  <si>
    <t>Melbourne</t>
  </si>
  <si>
    <t>ATH_A_ACROPOLIS_PARTHENON_ERECHTHEION_ATHENA_NIKE_5TH_CENTURY_BC_FAMOUS_BEST_HISTORY_WORLD_BIRTHPLACE_DEMOCRACY</t>
  </si>
  <si>
    <t>Australia</t>
  </si>
  <si>
    <t>AUD</t>
  </si>
  <si>
    <t>AUD→Local FX</t>
  </si>
  <si>
    <t>Sydney — Pricing Rules</t>
  </si>
  <si>
    <t>ATH_A_ACROPOLIS_MUSEUM + NATIONAL_ARCHAEOLOGICAL_MUSEUM + ANCIENT_AGORA + TEMPLE_OF_HEPHAESTUS + TEMPLE_OF_OLYMPIAN_ZEUS + ARCH_OF_HADRIAN + PANATHENAIC_STADIUM</t>
  </si>
  <si>
    <t>Sydney</t>
  </si>
  <si>
    <t>ATH_A_PLAKA_OLD_TOWN + MONASTIRAKI_FLEA_MARKET + SYNTAGMA_SQUARE + CHANGING_OF_GUARD + ANAFIOTIKA + MOUNT_LYCABETTUS_SUNSET + NATIONAL_GARDEN + KOLONAKI + ERMOU_STREET + GLYFADA_BEACH + VOULIAGMENI_BEACH + PIRAEUS_PORT + CAPE_SOUNION_TEMPLE_OF_POSEIDON_SUNSET + DELPHI + METEORA</t>
  </si>
  <si>
    <t>MELBOURNE_A_CBD_FED_SQUARE_LANEWAYS_CORE</t>
  </si>
  <si>
    <t>MELBOURNE_A_SOUTHBANK_ARTS_YARRA_CORE</t>
  </si>
  <si>
    <t>SYDNEY_A_CIRCULAR_QUAY_HARBOUR_CORE</t>
  </si>
  <si>
    <t>SYDNEY_A_THE_ROCKS_HERITAGE_CORE</t>
  </si>
  <si>
    <t>MELBOURNE_A_CARLTON_MUSEUM_CORE</t>
  </si>
  <si>
    <t>SYDNEY_A_DARLING_HARBOUR_FAMILY_CORE</t>
  </si>
  <si>
    <t>SYDNEY_A_BONDI_EASTERN_BEACHES_CORE</t>
  </si>
  <si>
    <t>MELBOURNE_A_ST_KILDA_BAYFRONT_CORE</t>
  </si>
  <si>
    <t>SYDNEY_A_MANLY_BEACH_FERRY_CORE</t>
  </si>
  <si>
    <t>SYDNEY_A_TARONGA_WILDLIFE_CORE</t>
  </si>
  <si>
    <t>MELBOURNE_A_BRIGHTON_BATHING_BOXES_CORE</t>
  </si>
  <si>
    <t>SYDNEY_A_ROYAL_BOTANIC_GARDEN_CORE</t>
  </si>
  <si>
    <t>SYDNEY_A_WATSONS_BAY_SOUTH_HEAD_CORE</t>
  </si>
  <si>
    <t>MELBOURNE_A_MCG_SPORTS_CORE</t>
  </si>
  <si>
    <t>SYDNEY_A_BLUE_MOUNTAINS_CORE</t>
  </si>
  <si>
    <t>MELBOURNE_A_GREAT_OCEAN_ROAD_CORE</t>
  </si>
  <si>
    <t>MELBOURNE_A_PHILLIP_ISLAND_WILDLIFE_CORE</t>
  </si>
  <si>
    <t>MELBOURNE_A_YARRA_VALLEY_CORE</t>
  </si>
  <si>
    <t>Auckland — Pricing Rules</t>
  </si>
  <si>
    <t>Auckland</t>
  </si>
  <si>
    <t>New Zealand</t>
  </si>
  <si>
    <t>NZD</t>
  </si>
  <si>
    <t>NZD→Local FX</t>
  </si>
  <si>
    <t>Queenstown — Pricing Rules</t>
  </si>
  <si>
    <t>Queenstown</t>
  </si>
  <si>
    <t>Suva — Pricing Rules</t>
  </si>
  <si>
    <t>Suva</t>
  </si>
  <si>
    <t>Fiji</t>
  </si>
  <si>
    <t>FJD</t>
  </si>
  <si>
    <t>FJD→Local FX</t>
  </si>
  <si>
    <t>AUCKLAND_A_CBD_SKY_TOWER_CORE</t>
  </si>
  <si>
    <t>AUCKLAND_A_VIADUCT_WYNYARD_CORE</t>
  </si>
  <si>
    <t>AUCKLAND_A_DOMAIN_MUSEUM_PARNELL_CORE</t>
  </si>
  <si>
    <t>AUCKLAND_A_MAUNGAWHAU_MOUNT_EDEN_CORE</t>
  </si>
  <si>
    <t>AUCKLAND_A_DEVONPORT_NORTH_HEAD_CORE</t>
  </si>
  <si>
    <t>AUCKLAND_A_WAIHEKE_ISLAND_CORE</t>
  </si>
  <si>
    <t>AUCKLAND_A_RANGITOTO_ISLAND_CORE</t>
  </si>
  <si>
    <t>AUCKLAND_A_MISSION_BAY_EASTERN_BAYS_CORE</t>
  </si>
  <si>
    <t>AUCKLAND_A_WESTERN_SPRINGS_MOTAT_ZOO_CORE</t>
  </si>
  <si>
    <t>AUCKLAND_A_PONSONBY_KARANGAHAPE_CORE</t>
  </si>
  <si>
    <t>AUCKLAND_A_MAUNGAKIEKIE_CORNWALL_PARK_CORE</t>
  </si>
  <si>
    <t>AUCKLAND_A_WAITAKERE_WEST_COAST_CORE</t>
  </si>
  <si>
    <t>QUEENSTOWN_A_TOWN_CENTRE_BAY_CORE</t>
  </si>
  <si>
    <t>QUEENSTOWN_A_SKYLINE_BOBS_PEAK_CORE</t>
  </si>
  <si>
    <t>QUEENSTOWN_A_GARDENS_FRANKTON_ARM_CORE</t>
  </si>
  <si>
    <t>QUEENSTOWN_A_ARTHURS_POINT_SHOTOVER_CORE</t>
  </si>
  <si>
    <t>SUVA_A_FIJI_MUSEUM_THURSTON_CORE</t>
  </si>
  <si>
    <t>QUEENSTOWN_A_CORONET_PEAK_CORE</t>
  </si>
  <si>
    <t>QUEENSTOWN_A_REMARKABLES_CORE</t>
  </si>
  <si>
    <t>QUEENSTOWN_A_FRANKTON_KELVIN_LAKE_HAYES_CORE</t>
  </si>
  <si>
    <t>QUEENSTOWN_A_ARROWTOWN_CORE</t>
  </si>
  <si>
    <t>SUVA_A_ALBERT_PARK_GOVERNMENT_CORE</t>
  </si>
  <si>
    <t>QUEENSTOWN_A_GIBBSTON_KAWARAU_CORE</t>
  </si>
  <si>
    <t>QUEENSTOWN_A_WALTER_PEAK_WHAKATIPU_CORE</t>
  </si>
  <si>
    <t>QUEENSTOWN_A_GLENORCHY_PARADISE_CORE</t>
  </si>
  <si>
    <t>SUVA_A_MARKET_CUMMING_STREET_CORE</t>
  </si>
  <si>
    <t>QUEENSTOWN_A_MOKE_LAKE_BACKCOUNTRY_CORE</t>
  </si>
  <si>
    <t>SUVA_A_WATERFRONT_NASESE_CORE</t>
  </si>
  <si>
    <t>SUVA_A_COLO_I_SUVA_CORE</t>
  </si>
  <si>
    <t>SUVA_A_USP_LAUCALA_BAY_CORE</t>
  </si>
  <si>
    <t>Tahiti — Pricing Rules</t>
  </si>
  <si>
    <t>SUVA_A_CITY_HERITAGE_SACRED_HEART_CORE</t>
  </si>
  <si>
    <t>SUVA_A_TOORAK_ROC_MARKET_CORE</t>
  </si>
  <si>
    <t>SUVA_A_MY_SUVA_PARK_CORE</t>
  </si>
  <si>
    <t>French Polynesia</t>
  </si>
  <si>
    <t>XPF</t>
  </si>
  <si>
    <t>SUVA_A_SAMABULA_CULTURAL_CORE</t>
  </si>
  <si>
    <t>XPF→Local FX</t>
  </si>
  <si>
    <t>SUVA_A_MOUNT_KOROBABA_LAMI_CORE</t>
  </si>
  <si>
    <t>SUVA_A_CBD_SHOPPING_CORE</t>
  </si>
  <si>
    <t>TAHITI_A_PAPEETE_MARKET_WATERFRONT_CORE</t>
  </si>
  <si>
    <t>TAHITI_A_FAAA_PUNAAUIA_LAGOON_CORE</t>
  </si>
  <si>
    <t>TAHITI_A_PAEA_ARAHURAHU_MARAA_CORE</t>
  </si>
  <si>
    <t>TAHITI_A_VAIPAHI_MATAIEA_CORE</t>
  </si>
  <si>
    <t>TAHITI_A_TARAVAO_ISTHMUS_CORE</t>
  </si>
  <si>
    <t>TAHITI_A_TEAHUPOO_TAHITI_ITI_CORE</t>
  </si>
  <si>
    <t>TAHITI_A_POINT_VENUS_MAHINA_CORE</t>
  </si>
  <si>
    <t>TAHITI_A_FAARUMAI_TIAREI_CORE</t>
  </si>
  <si>
    <t>TAHITI_A_PAPENOO_VALLEY_CORE</t>
  </si>
  <si>
    <t>TAHITI_A_HITIAA_FAAONE_CORE</t>
  </si>
  <si>
    <t>TAHITI_A_PIRAE_MOUNTAIN_CORE</t>
  </si>
  <si>
    <t>TAHITI_A_ARUE_MATAVAI_TAHARAA_CORE</t>
  </si>
  <si>
    <t>South Islands — Pricing Rules</t>
  </si>
  <si>
    <t>South Islands</t>
  </si>
  <si>
    <t>SOUTH_ISLANDS_A_LE MORNE PENINSULA &amp; SOUTHWEST COAST</t>
  </si>
  <si>
    <t>SOUTH_ISLANDS_A_BEL OMBRE / SOUTHERN LUXURY BELT</t>
  </si>
  <si>
    <t>SOUTH_ISLANDS_A_MAHÉBOURG &amp; POINTE D’ESNY / SOUTHEAST LAGOON</t>
  </si>
  <si>
    <t>SOUTH_ISLANDS_A_SOUILLAC &amp; WILD SOUTH COAST (GRIS GRIS)</t>
  </si>
  <si>
    <t>SOUTH_ISLANDS_A_CHAMAREL &amp; BLACK RIVER GORGES / MOUNTAIN HIGHLANDS</t>
  </si>
  <si>
    <t>SOUTH_ISLANDS_A_SOUTH COAST RESORT CORRIDOR</t>
  </si>
  <si>
    <t>Borneo Island — Pricing Rules</t>
  </si>
  <si>
    <t>Borneo Island</t>
  </si>
  <si>
    <t>Hurling — Pricing Rules</t>
  </si>
  <si>
    <t>Hurling</t>
  </si>
  <si>
    <t>Scope</t>
  </si>
  <si>
    <t>Default_Value</t>
  </si>
  <si>
    <t>Data_Type</t>
  </si>
  <si>
    <t>Quotation</t>
  </si>
  <si>
    <t>Adults</t>
  </si>
  <si>
    <t>Count</t>
  </si>
  <si>
    <t>Children</t>
  </si>
  <si>
    <t>Infants</t>
  </si>
  <si>
    <t>Nights</t>
  </si>
  <si>
    <t>Rooms</t>
  </si>
  <si>
    <t>Hotel Category</t>
  </si>
  <si>
    <t>Selection</t>
  </si>
  <si>
    <t>Hotel Zone</t>
  </si>
  <si>
    <t>Hotel Meal Plan</t>
  </si>
  <si>
    <t>Breakfast</t>
  </si>
  <si>
    <t>Flight Duration Band</t>
  </si>
  <si>
    <t>International Medium</t>
  </si>
  <si>
    <t>Flight Legs</t>
  </si>
  <si>
    <t>1 stop</t>
  </si>
  <si>
    <t>Flight Cabin</t>
  </si>
  <si>
    <t>Economy</t>
  </si>
  <si>
    <t>Flight Trip Type</t>
  </si>
  <si>
    <t>Round Trip</t>
  </si>
  <si>
    <t>Airport Transfers</t>
  </si>
  <si>
    <t>Local Transport Days</t>
  </si>
  <si>
    <t>Days</t>
  </si>
  <si>
    <t>Sightseeing Days</t>
  </si>
  <si>
    <t>Guide Days</t>
  </si>
  <si>
    <t>Breakfast Days</t>
  </si>
  <si>
    <t>Lunch Days</t>
  </si>
  <si>
    <t>Dinner Days</t>
  </si>
  <si>
    <t>Rail/Ferry Segments</t>
  </si>
  <si>
    <t>Visa Required</t>
  </si>
  <si>
    <t>No</t>
  </si>
  <si>
    <t>Yes/No</t>
  </si>
  <si>
    <t>Insurance</t>
  </si>
  <si>
    <t>Yes</t>
  </si>
  <si>
    <t>HRL_A_HURLING_VILLAGE_BARLEY_FIELDS_SMALL_GOMPA_SPITI_RIVER_COLD_DESERT_ZERO_CROWD_SILENCE_OFFBEAT</t>
  </si>
  <si>
    <t>City Tax Applicable</t>
  </si>
  <si>
    <t>Optional Activities</t>
  </si>
  <si>
    <t>0</t>
  </si>
  <si>
    <t>Agent Markup</t>
  </si>
  <si>
    <t>BONEO_ISLAND_A_KOTA KINABALU &amp; MOUNT KINABALU (SABAH)</t>
  </si>
  <si>
    <t>Percent</t>
  </si>
  <si>
    <t>Sales/VAT</t>
  </si>
  <si>
    <t>HRL_A_SUMDO_CONFLUENCE_3KM_KINNAUR_SPITI_BORDER_CHECK_POST_SPITI_ENTRY_GATE_SPITI_RIVER_CONFLUENCE</t>
  </si>
  <si>
    <t>Contingency</t>
  </si>
  <si>
    <t>HRL_A_TABO_MONASTERY_15KM_996_AD_AJANTA_HIMALAYAS_9_TEMPLES_FRESCOES_THANGKAS_UNESCO_TENTATIVE_OLDEST</t>
  </si>
  <si>
    <t>BONEO_ISLAND_A_KINABATANGAN RIVER &amp; SEPILOK (SABAH)</t>
  </si>
  <si>
    <t>HRL_A_NAKO_LAKE_35KM_MONASTERY_3662M_NAKO_VILLAGE_SPITI_GATEWAY_LAKE_MONASTERY_VILLAGE_OFFBEAT</t>
  </si>
  <si>
    <t>HRL_A_KAZA_65KM_DHANKAR_45KM_PIN_VALLEY_65KM_SPITI_CORE_SIDE_VALLEYS_MARKET_KEY_KIBBER_CHICHAM_LANGZA_HIKKIM_KOMIC</t>
  </si>
  <si>
    <t>BONEO_ISLAND_A_KUCHING &amp; BAKO NATIONAL PARK (SARAWAK)</t>
  </si>
  <si>
    <t>BONEO_ISLAND_A_GUNUNG MULU NATIONAL PARK (SARAWAK)</t>
  </si>
  <si>
    <t>Line</t>
  </si>
  <si>
    <t>Cost Component</t>
  </si>
  <si>
    <t>Formula / Driver</t>
  </si>
  <si>
    <t>Qty</t>
  </si>
  <si>
    <t>Unit Rate EUR</t>
  </si>
  <si>
    <t>Subtotal EUR</t>
  </si>
  <si>
    <t>Rooms × Nights × hotel rate</t>
  </si>
  <si>
    <t>Flight</t>
  </si>
  <si>
    <t>Passengers × flight fare</t>
  </si>
  <si>
    <t>Airport Transfer</t>
  </si>
  <si>
    <t>Transfers × transfer rate</t>
  </si>
  <si>
    <t>Local Transport</t>
  </si>
  <si>
    <t>Days × vehicle/day</t>
  </si>
  <si>
    <t>Sightseeing / Tickets</t>
  </si>
  <si>
    <t>Persons × activity rate</t>
  </si>
  <si>
    <t>Guide</t>
  </si>
  <si>
    <t>Guide days × guide rate</t>
  </si>
  <si>
    <t>Persons × meal-days × meal rate</t>
  </si>
  <si>
    <t>Rail/Ferry/Cruise</t>
  </si>
  <si>
    <t>Segments × ticket rate</t>
  </si>
  <si>
    <t>Visa</t>
  </si>
  <si>
    <t>Persons × visa cost</t>
  </si>
  <si>
    <t>Persons × insurance cost</t>
  </si>
  <si>
    <t>City/Tourism Tax</t>
  </si>
  <si>
    <t>Persons × nights × tax</t>
  </si>
  <si>
    <t>Other</t>
  </si>
  <si>
    <t>Optional / operational costs</t>
  </si>
  <si>
    <t>Direct Cost</t>
  </si>
  <si>
    <t>Cost Before Markup</t>
  </si>
  <si>
    <t>Tax/VAT</t>
  </si>
  <si>
    <t>Payment/FX Fee</t>
  </si>
  <si>
    <t>FINAL QUOTATION</t>
  </si>
  <si>
    <t>Sheet</t>
  </si>
  <si>
    <t>Purpose</t>
  </si>
  <si>
    <t>README</t>
  </si>
  <si>
    <t>Instructions, assumptions and pricing architecture</t>
  </si>
  <si>
    <t>Destination_Master</t>
  </si>
  <si>
    <t>Master destination/currency/season data</t>
  </si>
  <si>
    <t>Seasonality</t>
  </si>
  <si>
    <t>Low/Shoulder/High/Peak multipliers by destination</t>
  </si>
  <si>
    <t>Hotel_Rates</t>
  </si>
  <si>
    <t>Hotel prices by destination, zone, star category and meal plan</t>
  </si>
  <si>
    <t>Hotel_Modifiers</t>
  </si>
  <si>
    <t>Single/child/extra bed/upgrade modifiers</t>
  </si>
  <si>
    <t>Flight_Rules</t>
  </si>
  <si>
    <t>Flight price bands by duration, legs, cabin and trip type</t>
  </si>
  <si>
    <t>Flight_Surcharges</t>
  </si>
  <si>
    <t>Baggage, seat, peak, short-notice and passenger modifiers</t>
  </si>
  <si>
    <t>Transfer_Rules</t>
  </si>
  <si>
    <t>Airport and local transfer rates by vehicle and distance</t>
  </si>
  <si>
    <t>Daily_Transport</t>
  </si>
  <si>
    <t>Half/full day vehicle pricing</t>
  </si>
  <si>
    <t>Sightseeing_Activities</t>
  </si>
  <si>
    <t>Guides, tickets and excursions</t>
  </si>
  <si>
    <t>Meal_Rules</t>
  </si>
  <si>
    <t>Breakfast/lunch/dinner/snack rates</t>
  </si>
  <si>
    <t>Rail_Ferry_Cruise</t>
  </si>
  <si>
    <t>Intercity transport pricing</t>
  </si>
  <si>
    <t>Other_Costs</t>
  </si>
  <si>
    <t>Visa, insurance, tax, permits, tips, tolls, parking, etc.</t>
  </si>
  <si>
    <t>Markup_Tax_Rules</t>
  </si>
  <si>
    <t>Commercial markup, VAT, fees and FX buffer</t>
  </si>
  <si>
    <t>Quote_Component_Master</t>
  </si>
  <si>
    <t>Complete checklist of quote-generating components</t>
  </si>
  <si>
    <t>Pricing_Engine_Inputs</t>
  </si>
  <si>
    <t>Standard inputs required by the quotation engine</t>
  </si>
  <si>
    <t>Quotation_Calculation</t>
  </si>
  <si>
    <t>Formula-ready final quotation structure</t>
  </si>
  <si>
    <t>Destination sheets</t>
  </si>
  <si>
    <t>One sheet per destination with core hotel/flight/transport/meal/activity/other pricing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</si>
</sst>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$#,##0.00"/>
    <numFmt numFmtId="165" formatCode="₹#,##0.00"/>
    <numFmt numFmtId="166" formatCode="&quot;€&quot;#,##0.00"/>
    <numFmt numFmtId="167" formatCode="&quot;₹&quot;#,##0.00"/>
    <numFmt numFmtId="168" formatCode="€#,##0.00"/>
    <numFmt numFmtId="169" formatCode="&quot;$&quot;#,##0.00"/>
  </numFmts>
  <fonts count="12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6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color rgb="FFFFFFFF"/>
      <name val="Arial"/>
    </font>
    <font>
      <color theme="1"/>
      <name val="Arial"/>
    </font>
    <font>
      <sz val="11.0"/>
      <color rgb="FF000000"/>
      <name val="&quot;Courier New&quot;"/>
    </font>
    <font>
      <sz val="11.0"/>
      <color theme="1"/>
      <name val="Courier New"/>
    </font>
    <font>
      <sz val="8.0"/>
      <color rgb="FF1F1F1F"/>
      <name val="&quot;Google Sans&quot;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E2F0D9"/>
        <bgColor rgb="FFE2F0D9"/>
      </patternFill>
    </fill>
  </fills>
  <borders count="23">
    <border/>
    <border>
      <left/>
      <right/>
      <top/>
      <bottom/>
    </border>
    <border>
      <left/>
      <top/>
      <bottom/>
    </border>
    <border>
      <top/>
      <bottom/>
    </border>
    <border>
      <bottom style="thin">
        <color rgb="FFB7B7B7"/>
      </bottom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B7B7B7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7B7B7"/>
      </bottom>
    </border>
    <border>
      <right style="thin">
        <color rgb="FF000000"/>
      </right>
      <top style="thin">
        <color rgb="FF000000"/>
      </top>
    </border>
    <border>
      <left/>
      <right/>
      <top/>
      <bottom style="thin">
        <color rgb="FFB7B7B7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readingOrder="0"/>
    </xf>
    <xf borderId="3" fillId="0" fontId="3" numFmtId="0" xfId="0" applyBorder="1" applyFont="1"/>
    <xf borderId="4" fillId="0" fontId="4" numFmtId="0" xfId="0" applyAlignment="1" applyBorder="1" applyFont="1">
      <alignment shrinkToFit="0" vertical="top" wrapText="1"/>
    </xf>
    <xf borderId="5" fillId="0" fontId="3" numFmtId="0" xfId="0" applyBorder="1" applyFont="1"/>
    <xf borderId="4" fillId="0" fontId="4" numFmtId="10" xfId="0" applyAlignment="1" applyBorder="1" applyFont="1" applyNumberFormat="1">
      <alignment shrinkToFit="0" vertical="top" wrapText="1"/>
    </xf>
    <xf borderId="1" fillId="3" fontId="5" numFmtId="0" xfId="0" applyBorder="1" applyFill="1" applyFont="1"/>
    <xf borderId="0" fillId="0" fontId="6" numFmtId="0" xfId="0" applyAlignment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6" numFmtId="0" xfId="0" applyFont="1"/>
    <xf borderId="1" fillId="2" fontId="1" numFmtId="0" xfId="0" applyBorder="1" applyFill="1" applyFont="1"/>
    <xf borderId="6" fillId="2" fontId="7" numFmtId="0" xfId="0" applyAlignment="1" applyBorder="1" applyFill="1" applyFont="1">
      <alignment horizontal="left" readingOrder="0"/>
    </xf>
    <xf borderId="1" fillId="4" fontId="1" numFmtId="0" xfId="0" applyAlignment="1" applyBorder="1" applyFill="1" applyFont="1">
      <alignment readingOrder="0"/>
    </xf>
    <xf borderId="4" fillId="0" fontId="4" numFmtId="164" xfId="0" applyAlignment="1" applyBorder="1" applyFont="1" applyNumberFormat="1">
      <alignment readingOrder="0" shrinkToFit="0" vertical="top" wrapText="1"/>
    </xf>
    <xf borderId="4" fillId="0" fontId="4" numFmtId="165" xfId="0" applyAlignment="1" applyBorder="1" applyFont="1" applyNumberFormat="1">
      <alignment readingOrder="0" shrinkToFit="0" vertical="top" wrapText="1"/>
    </xf>
    <xf borderId="6" fillId="0" fontId="8" numFmtId="0" xfId="0" applyAlignment="1" applyBorder="1" applyFont="1">
      <alignment horizontal="left" readingOrder="0"/>
    </xf>
    <xf borderId="6" fillId="0" fontId="8" numFmtId="164" xfId="0" applyAlignment="1" applyBorder="1" applyFont="1" applyNumberFormat="1">
      <alignment horizontal="left" readingOrder="0"/>
    </xf>
    <xf borderId="6" fillId="0" fontId="8" numFmtId="165" xfId="0" applyAlignment="1" applyBorder="1" applyFont="1" applyNumberFormat="1">
      <alignment horizontal="left" readingOrder="0"/>
    </xf>
    <xf borderId="4" fillId="0" fontId="4" numFmtId="4" xfId="0" applyAlignment="1" applyBorder="1" applyFont="1" applyNumberFormat="1">
      <alignment shrinkToFit="0" vertical="top" wrapText="1"/>
    </xf>
    <xf borderId="1" fillId="2" fontId="1" numFmtId="0" xfId="0" applyAlignment="1" applyBorder="1" applyFill="1" applyFont="1">
      <alignment readingOrder="0"/>
    </xf>
    <xf borderId="7" fillId="0" fontId="4" numFmtId="0" xfId="0" applyAlignment="1" applyBorder="1" applyFont="1">
      <alignment shrinkToFit="0" vertical="top" wrapText="1"/>
    </xf>
    <xf borderId="7" fillId="5" fontId="9" numFmtId="0" xfId="0" applyAlignment="1" applyBorder="1" applyFill="1" applyFont="1">
      <alignment horizontal="left" readingOrder="0" shrinkToFit="0" wrapText="1"/>
    </xf>
    <xf borderId="7" fillId="0" fontId="4" numFmtId="164" xfId="0" applyAlignment="1" applyBorder="1" applyFont="1" applyNumberFormat="1">
      <alignment readingOrder="0" shrinkToFit="0" vertical="top" wrapText="1"/>
    </xf>
    <xf borderId="7" fillId="0" fontId="4" numFmtId="165" xfId="0" applyAlignment="1" applyBorder="1" applyFont="1" applyNumberFormat="1">
      <alignment readingOrder="0" shrinkToFit="0" vertical="top" wrapText="1"/>
    </xf>
    <xf borderId="8" fillId="0" fontId="4" numFmtId="0" xfId="0" applyAlignment="1" applyBorder="1" applyFont="1">
      <alignment shrinkToFit="0" vertical="top" wrapText="1"/>
    </xf>
    <xf borderId="8" fillId="5" fontId="9" numFmtId="0" xfId="0" applyAlignment="1" applyBorder="1" applyFill="1" applyFont="1">
      <alignment horizontal="left" readingOrder="0" shrinkToFit="0" wrapText="1"/>
    </xf>
    <xf borderId="8" fillId="0" fontId="4" numFmtId="164" xfId="0" applyAlignment="1" applyBorder="1" applyFont="1" applyNumberFormat="1">
      <alignment readingOrder="0" shrinkToFit="0" vertical="top" wrapText="1"/>
    </xf>
    <xf borderId="8" fillId="0" fontId="4" numFmtId="165" xfId="0" applyAlignment="1" applyBorder="1" applyFont="1" applyNumberFormat="1">
      <alignment readingOrder="0" shrinkToFit="0" vertical="top" wrapText="1"/>
    </xf>
    <xf borderId="9" fillId="5" fontId="9" numFmtId="0" xfId="0" applyAlignment="1" applyBorder="1" applyFill="1" applyFont="1">
      <alignment horizontal="left" readingOrder="0" shrinkToFit="0" wrapText="1"/>
    </xf>
    <xf borderId="9" fillId="0" fontId="6" numFmtId="0" xfId="0" applyBorder="1" applyFont="1"/>
    <xf borderId="9" fillId="5" fontId="9" numFmtId="0" xfId="0" applyAlignment="1" applyBorder="1" applyFill="1" applyFont="1">
      <alignment horizontal="left" shrinkToFit="0" wrapText="1"/>
    </xf>
    <xf borderId="4" fillId="0" fontId="4" numFmtId="0" xfId="0" applyAlignment="1" applyBorder="1" applyFont="1">
      <alignment readingOrder="0" shrinkToFit="0" vertical="top" wrapText="1"/>
    </xf>
    <xf borderId="4" fillId="0" fontId="4" numFmtId="164" xfId="0" applyAlignment="1" applyBorder="1" applyFont="1" applyNumberFormat="1">
      <alignment readingOrder="0" shrinkToFit="0" vertical="top" wrapText="1"/>
    </xf>
    <xf borderId="4" fillId="0" fontId="4" numFmtId="165" xfId="0" applyAlignment="1" applyBorder="1" applyFont="1" applyNumberFormat="1">
      <alignment shrinkToFit="0" vertical="top" wrapText="1"/>
    </xf>
    <xf borderId="7" fillId="0" fontId="4" numFmtId="164" xfId="0" applyAlignment="1" applyBorder="1" applyFont="1" applyNumberFormat="1">
      <alignment readingOrder="0" shrinkToFit="0" vertical="top" wrapText="1"/>
    </xf>
    <xf borderId="7" fillId="0" fontId="4" numFmtId="165" xfId="0" applyAlignment="1" applyBorder="1" applyFont="1" applyNumberFormat="1">
      <alignment shrinkToFit="0" vertical="top" wrapText="1"/>
    </xf>
    <xf borderId="10" fillId="0" fontId="4" numFmtId="0" xfId="0" applyAlignment="1" applyBorder="1" applyFont="1">
      <alignment shrinkToFit="0" vertical="top" wrapText="1"/>
    </xf>
    <xf borderId="7" fillId="0" fontId="4" numFmtId="4" xfId="0" applyAlignment="1" applyBorder="1" applyFont="1" applyNumberFormat="1">
      <alignment shrinkToFit="0" vertical="top" wrapText="1"/>
    </xf>
    <xf borderId="10" fillId="0" fontId="4" numFmtId="164" xfId="0" applyAlignment="1" applyBorder="1" applyFont="1" applyNumberFormat="1">
      <alignment readingOrder="0" shrinkToFit="0" vertical="top" wrapText="1"/>
    </xf>
    <xf borderId="10" fillId="0" fontId="4" numFmtId="165" xfId="0" applyAlignment="1" applyBorder="1" applyFont="1" applyNumberFormat="1">
      <alignment readingOrder="0" shrinkToFit="0" vertical="top" wrapText="1"/>
    </xf>
    <xf borderId="7" fillId="0" fontId="6" numFmtId="0" xfId="0" applyBorder="1" applyFont="1"/>
    <xf borderId="8" fillId="0" fontId="4" numFmtId="164" xfId="0" applyAlignment="1" applyBorder="1" applyFont="1" applyNumberFormat="1">
      <alignment readingOrder="0" shrinkToFit="0" vertical="top" wrapText="1"/>
    </xf>
    <xf borderId="8" fillId="0" fontId="4" numFmtId="165" xfId="0" applyAlignment="1" applyBorder="1" applyFont="1" applyNumberFormat="1">
      <alignment shrinkToFit="0" vertical="top" wrapText="1"/>
    </xf>
    <xf borderId="8" fillId="0" fontId="4" numFmtId="4" xfId="0" applyAlignment="1" applyBorder="1" applyFont="1" applyNumberFormat="1">
      <alignment shrinkToFit="0" vertical="top" wrapText="1"/>
    </xf>
    <xf borderId="8" fillId="0" fontId="6" numFmtId="0" xfId="0" applyBorder="1" applyFont="1"/>
    <xf borderId="10" fillId="0" fontId="4" numFmtId="164" xfId="0" applyAlignment="1" applyBorder="1" applyFont="1" applyNumberFormat="1">
      <alignment readingOrder="0" shrinkToFit="0" vertical="top" wrapText="1"/>
    </xf>
    <xf borderId="10" fillId="0" fontId="4" numFmtId="165" xfId="0" applyAlignment="1" applyBorder="1" applyFont="1" applyNumberFormat="1">
      <alignment shrinkToFit="0" vertical="top" wrapText="1"/>
    </xf>
    <xf borderId="0" fillId="5" fontId="9" numFmtId="0" xfId="0" applyAlignment="1" applyFill="1" applyFont="1">
      <alignment horizontal="left" shrinkToFit="0" wrapText="1"/>
    </xf>
    <xf borderId="0" fillId="5" fontId="9" numFmtId="0" xfId="0" applyAlignment="1" applyFill="1" applyFont="1">
      <alignment horizontal="left" readingOrder="0" shrinkToFit="0" wrapText="1"/>
    </xf>
    <xf borderId="10" fillId="0" fontId="4" numFmtId="4" xfId="0" applyAlignment="1" applyBorder="1" applyFont="1" applyNumberFormat="1">
      <alignment shrinkToFit="0" vertical="top" wrapText="1"/>
    </xf>
    <xf borderId="4" fillId="0" fontId="4" numFmtId="166" xfId="0" applyAlignment="1" applyBorder="1" applyFont="1" applyNumberFormat="1">
      <alignment readingOrder="0" shrinkToFit="0" vertical="top" wrapText="1"/>
    </xf>
    <xf borderId="4" fillId="0" fontId="4" numFmtId="167" xfId="0" applyAlignment="1" applyBorder="1" applyFont="1" applyNumberFormat="1">
      <alignment readingOrder="0" shrinkToFit="0" vertical="top" wrapText="1"/>
    </xf>
    <xf borderId="7" fillId="0" fontId="4" numFmtId="0" xfId="0" applyAlignment="1" applyBorder="1" applyFont="1">
      <alignment readingOrder="0" shrinkToFit="0" vertical="top" wrapText="1"/>
    </xf>
    <xf borderId="7" fillId="0" fontId="4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readingOrder="0" shrinkToFit="0" vertical="top" wrapText="1"/>
    </xf>
    <xf borderId="4" fillId="0" fontId="4" numFmtId="164" xfId="0" applyAlignment="1" applyBorder="1" applyFont="1" applyNumberFormat="1">
      <alignment readingOrder="0" shrinkToFit="0" vertical="top" wrapText="1"/>
    </xf>
    <xf borderId="4" fillId="0" fontId="4" numFmtId="165" xfId="0" applyAlignment="1" applyBorder="1" applyFont="1" applyNumberFormat="1">
      <alignment readingOrder="0" shrinkToFit="0" vertical="top" wrapText="1"/>
    </xf>
    <xf borderId="10" fillId="0" fontId="4" numFmtId="0" xfId="0" applyAlignment="1" applyBorder="1" applyFont="1">
      <alignment readingOrder="0" shrinkToFit="0" vertical="top" wrapText="1"/>
    </xf>
    <xf borderId="10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7" fillId="0" fontId="4" numFmtId="164" xfId="0" applyAlignment="1" applyBorder="1" applyFont="1" applyNumberFormat="1">
      <alignment readingOrder="0" shrinkToFit="0" vertical="top" wrapText="1"/>
    </xf>
    <xf borderId="7" fillId="0" fontId="4" numFmtId="165" xfId="0" applyAlignment="1" applyBorder="1" applyFont="1" applyNumberFormat="1">
      <alignment readingOrder="0" shrinkToFit="0" vertical="top" wrapText="1"/>
    </xf>
    <xf borderId="8" fillId="0" fontId="4" numFmtId="164" xfId="0" applyAlignment="1" applyBorder="1" applyFont="1" applyNumberFormat="1">
      <alignment readingOrder="0" shrinkToFit="0" vertical="top" wrapText="1"/>
    </xf>
    <xf borderId="8" fillId="0" fontId="4" numFmtId="165" xfId="0" applyAlignment="1" applyBorder="1" applyFont="1" applyNumberFormat="1">
      <alignment readingOrder="0" shrinkToFit="0" vertical="top" wrapText="1"/>
    </xf>
    <xf borderId="10" fillId="0" fontId="4" numFmtId="164" xfId="0" applyAlignment="1" applyBorder="1" applyFont="1" applyNumberFormat="1">
      <alignment readingOrder="0" shrinkToFit="0" vertical="top" wrapText="1"/>
    </xf>
    <xf borderId="10" fillId="0" fontId="4" numFmtId="165" xfId="0" applyAlignment="1" applyBorder="1" applyFont="1" applyNumberFormat="1">
      <alignment readingOrder="0" shrinkToFit="0" vertical="top" wrapText="1"/>
    </xf>
    <xf borderId="4" fillId="0" fontId="4" numFmtId="165" xfId="0" applyAlignment="1" applyBorder="1" applyFont="1" applyNumberFormat="1">
      <alignment readingOrder="0" shrinkToFit="0" vertical="top" wrapText="1"/>
    </xf>
    <xf borderId="7" fillId="0" fontId="4" numFmtId="165" xfId="0" applyAlignment="1" applyBorder="1" applyFont="1" applyNumberFormat="1">
      <alignment readingOrder="0" shrinkToFit="0" vertical="top" wrapText="1"/>
    </xf>
    <xf borderId="8" fillId="0" fontId="4" numFmtId="165" xfId="0" applyAlignment="1" applyBorder="1" applyFont="1" applyNumberFormat="1">
      <alignment readingOrder="0" shrinkToFit="0" vertical="top" wrapText="1"/>
    </xf>
    <xf borderId="10" fillId="0" fontId="4" numFmtId="165" xfId="0" applyAlignment="1" applyBorder="1" applyFont="1" applyNumberFormat="1">
      <alignment readingOrder="0" shrinkToFit="0" vertical="top" wrapText="1"/>
    </xf>
    <xf borderId="2" fillId="2" fontId="2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0" fillId="0" fontId="4" numFmtId="0" xfId="0" applyAlignment="1" applyFont="1">
      <alignment horizontal="right" vertical="bottom"/>
    </xf>
    <xf borderId="1" fillId="2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readingOrder="0" vertical="bottom"/>
    </xf>
    <xf borderId="1" fillId="2" fontId="4" numFmtId="0" xfId="0" applyAlignment="1" applyBorder="1" applyFill="1" applyFont="1">
      <alignment vertical="bottom"/>
    </xf>
    <xf borderId="4" fillId="0" fontId="4" numFmtId="164" xfId="0" applyAlignment="1" applyBorder="1" applyFont="1" applyNumberFormat="1">
      <alignment horizontal="right" readingOrder="0" shrinkToFit="0" vertical="top" wrapText="1"/>
    </xf>
    <xf borderId="4" fillId="0" fontId="4" numFmtId="165" xfId="0" applyAlignment="1" applyBorder="1" applyFont="1" applyNumberFormat="1">
      <alignment horizontal="right" readingOrder="0" shrinkToFit="0" vertical="top" wrapText="1"/>
    </xf>
    <xf borderId="4" fillId="0" fontId="4" numFmtId="0" xfId="0" applyAlignment="1" applyBorder="1" applyFont="1">
      <alignment vertical="top"/>
    </xf>
    <xf borderId="4" fillId="0" fontId="4" numFmtId="4" xfId="0" applyAlignment="1" applyBorder="1" applyFont="1" applyNumberFormat="1">
      <alignment vertical="top"/>
    </xf>
    <xf borderId="1" fillId="2" fontId="1" numFmtId="0" xfId="0" applyAlignment="1" applyBorder="1" applyFill="1" applyFont="1">
      <alignment readingOrder="0" vertical="bottom"/>
    </xf>
    <xf borderId="7" fillId="5" fontId="10" numFmtId="0" xfId="0" applyAlignment="1" applyBorder="1" applyFill="1" applyFont="1">
      <alignment shrinkToFit="0" vertical="bottom" wrapText="1"/>
    </xf>
    <xf borderId="7" fillId="0" fontId="4" numFmtId="4" xfId="0" applyAlignment="1" applyBorder="1" applyFont="1" applyNumberFormat="1">
      <alignment vertical="top"/>
    </xf>
    <xf borderId="7" fillId="0" fontId="4" numFmtId="0" xfId="0" applyAlignment="1" applyBorder="1" applyFont="1">
      <alignment vertical="top"/>
    </xf>
    <xf borderId="8" fillId="5" fontId="10" numFmtId="0" xfId="0" applyAlignment="1" applyBorder="1" applyFill="1" applyFont="1">
      <alignment shrinkToFit="0" vertical="bottom" wrapText="1"/>
    </xf>
    <xf borderId="8" fillId="0" fontId="4" numFmtId="4" xfId="0" applyAlignment="1" applyBorder="1" applyFont="1" applyNumberFormat="1">
      <alignment vertical="top"/>
    </xf>
    <xf borderId="8" fillId="0" fontId="4" numFmtId="0" xfId="0" applyAlignment="1" applyBorder="1" applyFont="1">
      <alignment vertical="top"/>
    </xf>
    <xf borderId="8" fillId="0" fontId="4" numFmtId="0" xfId="0" applyAlignment="1" applyBorder="1" applyFont="1">
      <alignment shrinkToFit="0" vertical="top" wrapText="1"/>
    </xf>
    <xf borderId="8" fillId="5" fontId="10" numFmtId="0" xfId="0" applyAlignment="1" applyBorder="1" applyFill="1" applyFont="1">
      <alignment shrinkToFit="0" vertical="bottom" wrapText="1"/>
    </xf>
    <xf borderId="8" fillId="0" fontId="4" numFmtId="0" xfId="0" applyAlignment="1" applyBorder="1" applyFont="1">
      <alignment vertical="bottom"/>
    </xf>
    <xf borderId="10" fillId="0" fontId="4" numFmtId="0" xfId="0" applyAlignment="1" applyBorder="1" applyFont="1">
      <alignment shrinkToFit="0" vertical="top" wrapText="1"/>
    </xf>
    <xf borderId="9" fillId="5" fontId="10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vertical="bottom"/>
    </xf>
    <xf borderId="8" fillId="0" fontId="6" numFmtId="0" xfId="0" applyAlignment="1" applyBorder="1" applyFont="1">
      <alignment readingOrder="0"/>
    </xf>
    <xf borderId="8" fillId="0" fontId="6" numFmtId="164" xfId="0" applyAlignment="1" applyBorder="1" applyFont="1" applyNumberFormat="1">
      <alignment readingOrder="0"/>
    </xf>
    <xf borderId="8" fillId="0" fontId="6" numFmtId="165" xfId="0" applyAlignment="1" applyBorder="1" applyFont="1" applyNumberFormat="1">
      <alignment readingOrder="0"/>
    </xf>
    <xf borderId="9" fillId="0" fontId="6" numFmtId="0" xfId="0" applyAlignment="1" applyBorder="1" applyFont="1">
      <alignment readingOrder="0"/>
    </xf>
    <xf borderId="9" fillId="0" fontId="6" numFmtId="164" xfId="0" applyAlignment="1" applyBorder="1" applyFont="1" applyNumberFormat="1">
      <alignment readingOrder="0"/>
    </xf>
    <xf borderId="9" fillId="0" fontId="6" numFmtId="165" xfId="0" applyAlignment="1" applyBorder="1" applyFont="1" applyNumberFormat="1">
      <alignment readingOrder="0"/>
    </xf>
    <xf borderId="4" fillId="0" fontId="4" numFmtId="165" xfId="0" applyAlignment="1" applyBorder="1" applyFont="1" applyNumberFormat="1">
      <alignment shrinkToFit="0" vertical="top" wrapText="1"/>
    </xf>
    <xf borderId="7" fillId="0" fontId="4" numFmtId="165" xfId="0" applyAlignment="1" applyBorder="1" applyFont="1" applyNumberFormat="1">
      <alignment shrinkToFit="0" vertical="top" wrapText="1"/>
    </xf>
    <xf borderId="8" fillId="0" fontId="4" numFmtId="165" xfId="0" applyAlignment="1" applyBorder="1" applyFont="1" applyNumberFormat="1">
      <alignment shrinkToFit="0" vertical="top" wrapText="1"/>
    </xf>
    <xf borderId="10" fillId="0" fontId="4" numFmtId="165" xfId="0" applyAlignment="1" applyBorder="1" applyFont="1" applyNumberFormat="1">
      <alignment shrinkToFit="0" vertical="top" wrapText="1"/>
    </xf>
    <xf borderId="2" fillId="2" fontId="2" numFmtId="0" xfId="0" applyAlignment="1" applyBorder="1" applyFill="1" applyFont="1">
      <alignment vertical="bottom"/>
    </xf>
    <xf borderId="4" fillId="0" fontId="4" numFmtId="164" xfId="0" applyAlignment="1" applyBorder="1" applyFont="1" applyNumberFormat="1">
      <alignment horizontal="right" readingOrder="0" shrinkToFit="0" vertical="top" wrapText="1"/>
    </xf>
    <xf borderId="4" fillId="0" fontId="4" numFmtId="165" xfId="0" applyAlignment="1" applyBorder="1" applyFont="1" applyNumberFormat="1">
      <alignment horizontal="right" shrinkToFit="0" vertical="top" wrapText="1"/>
    </xf>
    <xf borderId="9" fillId="5" fontId="10" numFmtId="0" xfId="0" applyAlignment="1" applyBorder="1" applyFill="1" applyFont="1">
      <alignment shrinkToFit="0" vertical="bottom" wrapText="1"/>
    </xf>
    <xf borderId="10" fillId="0" fontId="4" numFmtId="4" xfId="0" applyAlignment="1" applyBorder="1" applyFont="1" applyNumberFormat="1">
      <alignment vertical="top"/>
    </xf>
    <xf borderId="10" fillId="0" fontId="4" numFmtId="0" xfId="0" applyAlignment="1" applyBorder="1" applyFont="1">
      <alignment vertical="top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7" fillId="0" fontId="4" numFmtId="164" xfId="0" applyAlignment="1" applyBorder="1" applyFont="1" applyNumberFormat="1">
      <alignment horizontal="right" readingOrder="0" shrinkToFit="0" vertical="top" wrapText="1"/>
    </xf>
    <xf borderId="7" fillId="0" fontId="4" numFmtId="165" xfId="0" applyAlignment="1" applyBorder="1" applyFont="1" applyNumberFormat="1">
      <alignment horizontal="right" shrinkToFit="0" vertical="top" wrapText="1"/>
    </xf>
    <xf borderId="8" fillId="0" fontId="4" numFmtId="164" xfId="0" applyAlignment="1" applyBorder="1" applyFont="1" applyNumberFormat="1">
      <alignment horizontal="right" readingOrder="0" shrinkToFit="0" vertical="top" wrapText="1"/>
    </xf>
    <xf borderId="8" fillId="0" fontId="4" numFmtId="165" xfId="0" applyAlignment="1" applyBorder="1" applyFont="1" applyNumberFormat="1">
      <alignment horizontal="right" shrinkToFit="0" vertical="top" wrapText="1"/>
    </xf>
    <xf borderId="8" fillId="0" fontId="6" numFmtId="164" xfId="0" applyAlignment="1" applyBorder="1" applyFont="1" applyNumberFormat="1">
      <alignment horizontal="right" readingOrder="0"/>
    </xf>
    <xf borderId="8" fillId="0" fontId="6" numFmtId="165" xfId="0" applyAlignment="1" applyBorder="1" applyFont="1" applyNumberFormat="1">
      <alignment horizontal="right"/>
    </xf>
    <xf borderId="10" fillId="0" fontId="6" numFmtId="164" xfId="0" applyAlignment="1" applyBorder="1" applyFont="1" applyNumberFormat="1">
      <alignment horizontal="right" readingOrder="0"/>
    </xf>
    <xf borderId="10" fillId="0" fontId="6" numFmtId="165" xfId="0" applyAlignment="1" applyBorder="1" applyFont="1" applyNumberFormat="1">
      <alignment horizontal="right"/>
    </xf>
    <xf borderId="10" fillId="0" fontId="6" numFmtId="0" xfId="0" applyBorder="1" applyFont="1"/>
    <xf borderId="0" fillId="5" fontId="4" numFmtId="0" xfId="0" applyAlignment="1" applyFill="1" applyFont="1">
      <alignment vertical="bottom"/>
    </xf>
    <xf borderId="4" fillId="0" fontId="4" numFmtId="167" xfId="0" applyAlignment="1" applyBorder="1" applyFont="1" applyNumberFormat="1">
      <alignment readingOrder="0" shrinkToFit="0" vertical="top" wrapText="1"/>
    </xf>
    <xf borderId="4" fillId="0" fontId="4" numFmtId="165" xfId="0" applyAlignment="1" applyBorder="1" applyFont="1" applyNumberFormat="1">
      <alignment shrinkToFit="0" vertical="top" wrapText="1"/>
    </xf>
    <xf borderId="7" fillId="0" fontId="4" numFmtId="167" xfId="0" applyAlignment="1" applyBorder="1" applyFont="1" applyNumberFormat="1">
      <alignment readingOrder="0" shrinkToFit="0" vertical="top" wrapText="1"/>
    </xf>
    <xf borderId="8" fillId="0" fontId="4" numFmtId="167" xfId="0" applyAlignment="1" applyBorder="1" applyFont="1" applyNumberFormat="1">
      <alignment readingOrder="0" shrinkToFit="0" vertical="top" wrapText="1"/>
    </xf>
    <xf borderId="7" fillId="0" fontId="4" numFmtId="168" xfId="0" applyAlignment="1" applyBorder="1" applyFont="1" applyNumberFormat="1">
      <alignment readingOrder="0" shrinkToFit="0" vertical="top" wrapText="1"/>
    </xf>
    <xf borderId="8" fillId="0" fontId="4" numFmtId="168" xfId="0" applyAlignment="1" applyBorder="1" applyFont="1" applyNumberFormat="1">
      <alignment readingOrder="0" shrinkToFit="0" vertical="top" wrapText="1"/>
    </xf>
    <xf borderId="10" fillId="0" fontId="4" numFmtId="167" xfId="0" applyAlignment="1" applyBorder="1" applyFont="1" applyNumberFormat="1">
      <alignment readingOrder="0" shrinkToFit="0" vertical="top" wrapText="1"/>
    </xf>
    <xf borderId="10" fillId="0" fontId="4" numFmtId="168" xfId="0" applyAlignment="1" applyBorder="1" applyFont="1" applyNumberFormat="1">
      <alignment readingOrder="0" shrinkToFit="0" vertical="top" wrapText="1"/>
    </xf>
    <xf borderId="11" fillId="0" fontId="4" numFmtId="0" xfId="0" applyAlignment="1" applyBorder="1" applyFont="1">
      <alignment shrinkToFit="0" vertical="top" wrapText="1"/>
    </xf>
    <xf borderId="12" fillId="5" fontId="9" numFmtId="0" xfId="0" applyAlignment="1" applyBorder="1" applyFill="1" applyFont="1">
      <alignment horizontal="left" readingOrder="0" shrinkToFit="0" wrapText="1"/>
    </xf>
    <xf borderId="12" fillId="0" fontId="4" numFmtId="0" xfId="0" applyAlignment="1" applyBorder="1" applyFont="1">
      <alignment shrinkToFit="0" vertical="top" wrapText="1"/>
    </xf>
    <xf borderId="12" fillId="0" fontId="4" numFmtId="164" xfId="0" applyAlignment="1" applyBorder="1" applyFont="1" applyNumberFormat="1">
      <alignment readingOrder="0" shrinkToFit="0" vertical="top" wrapText="1"/>
    </xf>
    <xf borderId="12" fillId="0" fontId="4" numFmtId="165" xfId="0" applyAlignment="1" applyBorder="1" applyFont="1" applyNumberFormat="1">
      <alignment readingOrder="0" shrinkToFit="0" vertical="top" wrapText="1"/>
    </xf>
    <xf borderId="12" fillId="0" fontId="4" numFmtId="4" xfId="0" applyAlignment="1" applyBorder="1" applyFont="1" applyNumberFormat="1">
      <alignment shrinkToFit="0" vertical="top" wrapText="1"/>
    </xf>
    <xf borderId="12" fillId="0" fontId="6" numFmtId="0" xfId="0" applyBorder="1" applyFont="1"/>
    <xf borderId="13" fillId="0" fontId="6" numFmtId="0" xfId="0" applyBorder="1" applyFont="1"/>
    <xf borderId="14" fillId="0" fontId="4" numFmtId="0" xfId="0" applyAlignment="1" applyBorder="1" applyFont="1">
      <alignment shrinkToFit="0" vertical="top" wrapText="1"/>
    </xf>
    <xf borderId="15" fillId="5" fontId="9" numFmtId="0" xfId="0" applyAlignment="1" applyBorder="1" applyFill="1" applyFont="1">
      <alignment horizontal="left" readingOrder="0" shrinkToFit="0" wrapText="1"/>
    </xf>
    <xf borderId="15" fillId="0" fontId="4" numFmtId="0" xfId="0" applyAlignment="1" applyBorder="1" applyFont="1">
      <alignment shrinkToFit="0" vertical="top" wrapText="1"/>
    </xf>
    <xf borderId="15" fillId="0" fontId="4" numFmtId="164" xfId="0" applyAlignment="1" applyBorder="1" applyFont="1" applyNumberFormat="1">
      <alignment readingOrder="0" shrinkToFit="0" vertical="top" wrapText="1"/>
    </xf>
    <xf borderId="15" fillId="0" fontId="4" numFmtId="165" xfId="0" applyAlignment="1" applyBorder="1" applyFont="1" applyNumberFormat="1">
      <alignment readingOrder="0" shrinkToFit="0" vertical="top" wrapText="1"/>
    </xf>
    <xf borderId="15" fillId="0" fontId="4" numFmtId="4" xfId="0" applyAlignment="1" applyBorder="1" applyFont="1" applyNumberFormat="1">
      <alignment shrinkToFit="0" vertical="top" wrapText="1"/>
    </xf>
    <xf borderId="15" fillId="0" fontId="6" numFmtId="0" xfId="0" applyBorder="1" applyFont="1"/>
    <xf borderId="16" fillId="0" fontId="6" numFmtId="0" xfId="0" applyBorder="1" applyFont="1"/>
    <xf borderId="17" fillId="5" fontId="9" numFmtId="0" xfId="0" applyAlignment="1" applyBorder="1" applyFill="1" applyFont="1">
      <alignment horizontal="left" readingOrder="0" shrinkToFit="0" wrapText="1"/>
    </xf>
    <xf borderId="17" fillId="0" fontId="6" numFmtId="0" xfId="0" applyBorder="1" applyFont="1"/>
    <xf borderId="18" fillId="0" fontId="6" numFmtId="0" xfId="0" applyBorder="1" applyFont="1"/>
    <xf borderId="4" fillId="0" fontId="4" numFmtId="169" xfId="0" applyAlignment="1" applyBorder="1" applyFont="1" applyNumberFormat="1">
      <alignment readingOrder="0" shrinkToFit="0" vertical="top" wrapText="1"/>
    </xf>
    <xf borderId="4" fillId="0" fontId="4" numFmtId="167" xfId="0" applyAlignment="1" applyBorder="1" applyFont="1" applyNumberFormat="1">
      <alignment shrinkToFit="0" vertical="top" wrapText="1"/>
    </xf>
    <xf borderId="7" fillId="0" fontId="4" numFmtId="169" xfId="0" applyAlignment="1" applyBorder="1" applyFont="1" applyNumberFormat="1">
      <alignment readingOrder="0" shrinkToFit="0" vertical="top" wrapText="1"/>
    </xf>
    <xf borderId="7" fillId="0" fontId="4" numFmtId="167" xfId="0" applyAlignment="1" applyBorder="1" applyFont="1" applyNumberFormat="1">
      <alignment shrinkToFit="0" vertical="top" wrapText="1"/>
    </xf>
    <xf borderId="8" fillId="0" fontId="4" numFmtId="169" xfId="0" applyAlignment="1" applyBorder="1" applyFont="1" applyNumberFormat="1">
      <alignment readingOrder="0" shrinkToFit="0" vertical="top" wrapText="1"/>
    </xf>
    <xf borderId="8" fillId="0" fontId="4" numFmtId="167" xfId="0" applyAlignment="1" applyBorder="1" applyFont="1" applyNumberFormat="1">
      <alignment shrinkToFit="0" vertical="top" wrapText="1"/>
    </xf>
    <xf borderId="10" fillId="0" fontId="4" numFmtId="169" xfId="0" applyAlignment="1" applyBorder="1" applyFont="1" applyNumberFormat="1">
      <alignment readingOrder="0" shrinkToFit="0" vertical="top" wrapText="1"/>
    </xf>
    <xf borderId="10" fillId="0" fontId="4" numFmtId="167" xfId="0" applyAlignment="1" applyBorder="1" applyFont="1" applyNumberFormat="1">
      <alignment shrinkToFit="0" vertical="top" wrapText="1"/>
    </xf>
    <xf borderId="19" fillId="0" fontId="4" numFmtId="0" xfId="0" applyAlignment="1" applyBorder="1" applyFont="1">
      <alignment shrinkToFit="0" vertical="top" wrapText="1"/>
    </xf>
    <xf borderId="20" fillId="0" fontId="4" numFmtId="0" xfId="0" applyAlignment="1" applyBorder="1" applyFont="1">
      <alignment shrinkToFit="0" vertical="top" wrapText="1"/>
    </xf>
    <xf borderId="20" fillId="0" fontId="4" numFmtId="164" xfId="0" applyAlignment="1" applyBorder="1" applyFont="1" applyNumberFormat="1">
      <alignment readingOrder="0" shrinkToFit="0" vertical="top" wrapText="1"/>
    </xf>
    <xf borderId="20" fillId="0" fontId="4" numFmtId="165" xfId="0" applyAlignment="1" applyBorder="1" applyFont="1" applyNumberFormat="1">
      <alignment readingOrder="0" shrinkToFit="0" vertical="top" wrapText="1"/>
    </xf>
    <xf borderId="20" fillId="0" fontId="4" numFmtId="4" xfId="0" applyAlignment="1" applyBorder="1" applyFont="1" applyNumberFormat="1">
      <alignment shrinkToFit="0" vertical="top" wrapText="1"/>
    </xf>
    <xf borderId="4" fillId="0" fontId="4" numFmtId="169" xfId="0" applyAlignment="1" applyBorder="1" applyFont="1" applyNumberFormat="1">
      <alignment readingOrder="0" shrinkToFit="0" vertical="top" wrapText="1"/>
    </xf>
    <xf borderId="4" fillId="0" fontId="4" numFmtId="167" xfId="0" applyAlignment="1" applyBorder="1" applyFont="1" applyNumberFormat="1">
      <alignment shrinkToFit="0" vertical="top" wrapText="1"/>
    </xf>
    <xf borderId="7" fillId="0" fontId="4" numFmtId="169" xfId="0" applyAlignment="1" applyBorder="1" applyFont="1" applyNumberFormat="1">
      <alignment readingOrder="0" shrinkToFit="0" vertical="top" wrapText="1"/>
    </xf>
    <xf borderId="7" fillId="0" fontId="4" numFmtId="167" xfId="0" applyAlignment="1" applyBorder="1" applyFont="1" applyNumberFormat="1">
      <alignment shrinkToFit="0" vertical="top" wrapText="1"/>
    </xf>
    <xf borderId="8" fillId="0" fontId="4" numFmtId="169" xfId="0" applyAlignment="1" applyBorder="1" applyFont="1" applyNumberFormat="1">
      <alignment readingOrder="0" shrinkToFit="0" vertical="top" wrapText="1"/>
    </xf>
    <xf borderId="8" fillId="0" fontId="4" numFmtId="167" xfId="0" applyAlignment="1" applyBorder="1" applyFont="1" applyNumberFormat="1">
      <alignment shrinkToFit="0" vertical="top" wrapText="1"/>
    </xf>
    <xf borderId="7" fillId="0" fontId="4" numFmtId="165" xfId="0" applyAlignment="1" applyBorder="1" applyFont="1" applyNumberFormat="1">
      <alignment shrinkToFit="0" vertical="top" wrapText="1"/>
    </xf>
    <xf borderId="8" fillId="0" fontId="4" numFmtId="165" xfId="0" applyAlignment="1" applyBorder="1" applyFont="1" applyNumberFormat="1">
      <alignment shrinkToFit="0" vertical="top" wrapText="1"/>
    </xf>
    <xf borderId="10" fillId="0" fontId="4" numFmtId="165" xfId="0" applyAlignment="1" applyBorder="1" applyFont="1" applyNumberFormat="1">
      <alignment shrinkToFit="0" vertical="top" wrapText="1"/>
    </xf>
    <xf borderId="0" fillId="0" fontId="6" numFmtId="164" xfId="0" applyAlignment="1" applyFont="1" applyNumberFormat="1">
      <alignment readingOrder="0"/>
    </xf>
    <xf borderId="0" fillId="0" fontId="6" numFmtId="165" xfId="0" applyFont="1" applyNumberFormat="1"/>
    <xf borderId="0" fillId="0" fontId="6" numFmtId="164" xfId="0" applyFont="1" applyNumberFormat="1"/>
    <xf borderId="8" fillId="0" fontId="4" numFmtId="164" xfId="0" applyAlignment="1" applyBorder="1" applyFont="1" applyNumberFormat="1">
      <alignment shrinkToFit="0" vertical="top" wrapText="1"/>
    </xf>
    <xf borderId="7" fillId="0" fontId="6" numFmtId="0" xfId="0" applyAlignment="1" applyBorder="1" applyFont="1">
      <alignment readingOrder="0"/>
    </xf>
    <xf borderId="7" fillId="0" fontId="6" numFmtId="164" xfId="0" applyAlignment="1" applyBorder="1" applyFont="1" applyNumberFormat="1">
      <alignment readingOrder="0"/>
    </xf>
    <xf borderId="7" fillId="0" fontId="6" numFmtId="165" xfId="0" applyBorder="1" applyFont="1" applyNumberFormat="1"/>
    <xf borderId="9" fillId="0" fontId="6" numFmtId="165" xfId="0" applyBorder="1" applyFont="1" applyNumberFormat="1"/>
    <xf borderId="10" fillId="0" fontId="4" numFmtId="169" xfId="0" applyAlignment="1" applyBorder="1" applyFont="1" applyNumberFormat="1">
      <alignment readingOrder="0" shrinkToFit="0" vertical="top" wrapText="1"/>
    </xf>
    <xf borderId="10" fillId="0" fontId="4" numFmtId="167" xfId="0" applyAlignment="1" applyBorder="1" applyFont="1" applyNumberFormat="1">
      <alignment shrinkToFit="0" vertical="top" wrapText="1"/>
    </xf>
    <xf borderId="4" fillId="0" fontId="4" numFmtId="169" xfId="0" applyAlignment="1" applyBorder="1" applyFont="1" applyNumberFormat="1">
      <alignment readingOrder="0" shrinkToFit="0" vertical="top" wrapText="1"/>
    </xf>
    <xf borderId="4" fillId="0" fontId="4" numFmtId="167" xfId="0" applyAlignment="1" applyBorder="1" applyFont="1" applyNumberFormat="1">
      <alignment shrinkToFit="0" vertical="top" wrapText="1"/>
    </xf>
    <xf borderId="4" fillId="0" fontId="4" numFmtId="168" xfId="0" applyAlignment="1" applyBorder="1" applyFont="1" applyNumberFormat="1">
      <alignment readingOrder="0" shrinkToFit="0" vertical="top" wrapText="1"/>
    </xf>
    <xf borderId="7" fillId="0" fontId="4" numFmtId="168" xfId="0" applyAlignment="1" applyBorder="1" applyFont="1" applyNumberFormat="1">
      <alignment readingOrder="0" shrinkToFit="0" vertical="top" wrapText="1"/>
    </xf>
    <xf borderId="8" fillId="0" fontId="4" numFmtId="168" xfId="0" applyAlignment="1" applyBorder="1" applyFont="1" applyNumberFormat="1">
      <alignment readingOrder="0" shrinkToFit="0" vertical="top" wrapText="1"/>
    </xf>
    <xf borderId="10" fillId="0" fontId="4" numFmtId="168" xfId="0" applyAlignment="1" applyBorder="1" applyFont="1" applyNumberFormat="1">
      <alignment readingOrder="0" shrinkToFit="0" vertical="top" wrapText="1"/>
    </xf>
    <xf borderId="0" fillId="0" fontId="6" numFmtId="168" xfId="0" applyAlignment="1" applyFont="1" applyNumberFormat="1">
      <alignment readingOrder="0"/>
    </xf>
    <xf borderId="11" fillId="0" fontId="6" numFmtId="0" xfId="0" applyBorder="1" applyFont="1"/>
    <xf borderId="14" fillId="0" fontId="6" numFmtId="0" xfId="0" applyBorder="1" applyFont="1"/>
    <xf borderId="21" fillId="0" fontId="6" numFmtId="0" xfId="0" applyBorder="1" applyFont="1"/>
    <xf borderId="7" fillId="6" fontId="11" numFmtId="166" xfId="0" applyAlignment="1" applyBorder="1" applyFill="1" applyFont="1" applyNumberFormat="1">
      <alignment readingOrder="0"/>
    </xf>
    <xf borderId="7" fillId="6" fontId="11" numFmtId="0" xfId="0" applyAlignment="1" applyBorder="1" applyFill="1" applyFont="1">
      <alignment readingOrder="0"/>
    </xf>
    <xf borderId="8" fillId="6" fontId="11" numFmtId="166" xfId="0" applyAlignment="1" applyBorder="1" applyFill="1" applyFont="1" applyNumberFormat="1">
      <alignment readingOrder="0"/>
    </xf>
    <xf borderId="8" fillId="6" fontId="11" numFmtId="0" xfId="0" applyAlignment="1" applyBorder="1" applyFill="1" applyFont="1">
      <alignment readingOrder="0"/>
    </xf>
    <xf borderId="4" fillId="0" fontId="4" numFmtId="168" xfId="0" applyAlignment="1" applyBorder="1" applyFont="1" applyNumberFormat="1">
      <alignment readingOrder="0" shrinkToFit="0" vertical="top" wrapText="1"/>
    </xf>
    <xf borderId="4" fillId="0" fontId="4" numFmtId="166" xfId="0" applyAlignment="1" applyBorder="1" applyFont="1" applyNumberFormat="1">
      <alignment readingOrder="0" shrinkToFit="0" vertical="top" wrapText="1"/>
    </xf>
    <xf borderId="4" fillId="0" fontId="4" numFmtId="167" xfId="0" applyAlignment="1" applyBorder="1" applyFont="1" applyNumberFormat="1">
      <alignment readingOrder="0" shrinkToFit="0" vertical="top" wrapText="1"/>
    </xf>
    <xf borderId="9" fillId="6" fontId="11" numFmtId="166" xfId="0" applyAlignment="1" applyBorder="1" applyFill="1" applyFont="1" applyNumberFormat="1">
      <alignment readingOrder="0"/>
    </xf>
    <xf borderId="9" fillId="6" fontId="11" numFmtId="0" xfId="0" applyAlignment="1" applyBorder="1" applyFill="1" applyFont="1">
      <alignment readingOrder="0"/>
    </xf>
    <xf borderId="4" fillId="0" fontId="4" numFmtId="166" xfId="0" applyAlignment="1" applyBorder="1" applyFont="1" applyNumberFormat="1">
      <alignment horizontal="right" readingOrder="0" shrinkToFit="0" vertical="top" wrapText="1"/>
    </xf>
    <xf borderId="4" fillId="0" fontId="4" numFmtId="167" xfId="0" applyAlignment="1" applyBorder="1" applyFont="1" applyNumberFormat="1">
      <alignment horizontal="right" readingOrder="0" shrinkToFit="0" vertical="top" wrapText="1"/>
    </xf>
    <xf borderId="4" fillId="0" fontId="4" numFmtId="168" xfId="0" applyAlignment="1" applyBorder="1" applyFont="1" applyNumberFormat="1">
      <alignment horizontal="right" readingOrder="0" shrinkToFit="0" vertical="top" wrapText="1"/>
    </xf>
    <xf borderId="4" fillId="0" fontId="4" numFmtId="165" xfId="0" applyAlignment="1" applyBorder="1" applyFont="1" applyNumberFormat="1">
      <alignment horizontal="right" readingOrder="0" shrinkToFit="0" vertical="top" wrapText="1"/>
    </xf>
    <xf borderId="8" fillId="0" fontId="6" numFmtId="168" xfId="0" applyAlignment="1" applyBorder="1" applyFont="1" applyNumberFormat="1">
      <alignment readingOrder="0"/>
    </xf>
    <xf borderId="8" fillId="0" fontId="6" numFmtId="165" xfId="0" applyAlignment="1" applyBorder="1" applyFont="1" applyNumberFormat="1">
      <alignment readingOrder="0"/>
    </xf>
    <xf borderId="9" fillId="0" fontId="6" numFmtId="168" xfId="0" applyAlignment="1" applyBorder="1" applyFont="1" applyNumberFormat="1">
      <alignment readingOrder="0"/>
    </xf>
    <xf borderId="9" fillId="0" fontId="6" numFmtId="165" xfId="0" applyAlignment="1" applyBorder="1" applyFont="1" applyNumberFormat="1">
      <alignment readingOrder="0"/>
    </xf>
    <xf borderId="0" fillId="0" fontId="6" numFmtId="168" xfId="0" applyAlignment="1" applyFont="1" applyNumberFormat="1">
      <alignment horizontal="right" readingOrder="0"/>
    </xf>
    <xf borderId="0" fillId="0" fontId="6" numFmtId="165" xfId="0" applyAlignment="1" applyFont="1" applyNumberFormat="1">
      <alignment horizontal="right"/>
    </xf>
    <xf borderId="0" fillId="0" fontId="6" numFmtId="0" xfId="0" applyAlignment="1" applyFont="1">
      <alignment readingOrder="0"/>
    </xf>
    <xf borderId="7" fillId="0" fontId="4" numFmtId="167" xfId="0" applyAlignment="1" applyBorder="1" applyFont="1" applyNumberFormat="1">
      <alignment readingOrder="0" shrinkToFit="0" vertical="top" wrapText="1"/>
    </xf>
    <xf borderId="8" fillId="0" fontId="4" numFmtId="167" xfId="0" applyAlignment="1" applyBorder="1" applyFont="1" applyNumberFormat="1">
      <alignment readingOrder="0" shrinkToFit="0" vertical="top" wrapText="1"/>
    </xf>
    <xf borderId="10" fillId="0" fontId="4" numFmtId="167" xfId="0" applyAlignment="1" applyBorder="1" applyFont="1" applyNumberFormat="1">
      <alignment readingOrder="0" shrinkToFit="0" vertical="top" wrapText="1"/>
    </xf>
    <xf borderId="22" fillId="2" fontId="1" numFmtId="0" xfId="0" applyAlignment="1" applyBorder="1" applyFill="1" applyFont="1">
      <alignment shrinkToFit="0" vertical="top" wrapText="1"/>
    </xf>
    <xf borderId="22" fillId="7" fontId="4" numFmtId="0" xfId="0" applyAlignment="1" applyBorder="1" applyFill="1" applyFont="1">
      <alignment shrinkToFit="0" vertical="top" wrapText="1"/>
    </xf>
    <xf borderId="22" fillId="7" fontId="5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4" width="12.0"/>
    <col customWidth="1" min="5" max="5" width="28.0"/>
    <col customWidth="1" min="6" max="26" width="8.71"/>
  </cols>
  <sheetData>
    <row r="1" ht="27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ht="14.25" customHeight="1">
      <c r="A2" s="4" t="s">
        <v>7</v>
      </c>
      <c r="B2" s="4" t="s">
        <v>8</v>
      </c>
      <c r="C2" s="4" t="s">
        <v>9</v>
      </c>
      <c r="D2" s="6">
        <v>0.15</v>
      </c>
      <c r="E2" s="4" t="s">
        <v>11</v>
      </c>
    </row>
    <row r="3" ht="14.25" customHeight="1">
      <c r="A3" s="4" t="s">
        <v>7</v>
      </c>
      <c r="B3" s="4" t="s">
        <v>12</v>
      </c>
      <c r="C3" s="4" t="s">
        <v>9</v>
      </c>
      <c r="D3" s="6">
        <v>0.2</v>
      </c>
      <c r="E3" s="4" t="s">
        <v>16</v>
      </c>
    </row>
    <row r="4" ht="14.25" customHeight="1">
      <c r="A4" s="4" t="s">
        <v>7</v>
      </c>
      <c r="B4" s="4" t="s">
        <v>17</v>
      </c>
      <c r="C4" s="4" t="s">
        <v>9</v>
      </c>
      <c r="D4" s="6">
        <v>0.1</v>
      </c>
      <c r="E4" s="4" t="s">
        <v>18</v>
      </c>
    </row>
    <row r="5" ht="14.25" customHeight="1">
      <c r="A5" s="4" t="s">
        <v>20</v>
      </c>
      <c r="B5" s="4" t="s">
        <v>21</v>
      </c>
      <c r="C5" s="4" t="s">
        <v>9</v>
      </c>
      <c r="D5" s="6">
        <v>0.12</v>
      </c>
      <c r="E5" s="4" t="s">
        <v>23</v>
      </c>
    </row>
    <row r="6" ht="14.25" customHeight="1">
      <c r="A6" s="4" t="s">
        <v>20</v>
      </c>
      <c r="B6" s="4" t="s">
        <v>26</v>
      </c>
      <c r="C6" s="4" t="s">
        <v>9</v>
      </c>
      <c r="D6" s="6">
        <v>0.08</v>
      </c>
      <c r="E6" s="4" t="s">
        <v>23</v>
      </c>
    </row>
    <row r="7" ht="14.25" customHeight="1">
      <c r="A7" s="4" t="s">
        <v>20</v>
      </c>
      <c r="B7" s="4" t="s">
        <v>28</v>
      </c>
      <c r="C7" s="4" t="s">
        <v>9</v>
      </c>
      <c r="D7" s="6">
        <v>0.12</v>
      </c>
      <c r="E7" s="4" t="s">
        <v>23</v>
      </c>
    </row>
    <row r="8" ht="14.25" customHeight="1">
      <c r="A8" s="4" t="s">
        <v>20</v>
      </c>
      <c r="B8" s="4" t="s">
        <v>30</v>
      </c>
      <c r="C8" s="4" t="s">
        <v>9</v>
      </c>
      <c r="D8" s="6">
        <v>0.15</v>
      </c>
      <c r="E8" s="4" t="s">
        <v>23</v>
      </c>
    </row>
    <row r="9" ht="14.25" customHeight="1">
      <c r="A9" s="4" t="s">
        <v>32</v>
      </c>
      <c r="B9" s="4" t="s">
        <v>34</v>
      </c>
      <c r="C9" s="4" t="s">
        <v>9</v>
      </c>
      <c r="D9" s="6">
        <v>0.0</v>
      </c>
      <c r="E9" s="4" t="s">
        <v>36</v>
      </c>
    </row>
    <row r="10" ht="14.25" customHeight="1">
      <c r="A10" s="4" t="s">
        <v>37</v>
      </c>
      <c r="B10" s="4" t="s">
        <v>38</v>
      </c>
      <c r="C10" s="4" t="s">
        <v>9</v>
      </c>
      <c r="D10" s="6">
        <v>0.02</v>
      </c>
      <c r="E10" s="4" t="s">
        <v>18</v>
      </c>
    </row>
    <row r="11" ht="14.25" customHeight="1">
      <c r="A11" s="4" t="s">
        <v>37</v>
      </c>
      <c r="B11" s="4" t="s">
        <v>41</v>
      </c>
      <c r="C11" s="4" t="s">
        <v>9</v>
      </c>
      <c r="D11" s="6">
        <v>0.02</v>
      </c>
      <c r="E11" s="4" t="s">
        <v>18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1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7" width="18.0"/>
    <col customWidth="1" min="8" max="8" width="42.0"/>
    <col customWidth="1" min="9" max="25" width="8.71"/>
  </cols>
  <sheetData>
    <row r="1" ht="27.75" customHeight="1">
      <c r="A1" s="2" t="s">
        <v>1</v>
      </c>
      <c r="B1" s="3"/>
      <c r="C1" s="3"/>
      <c r="D1" s="3"/>
      <c r="E1" s="3"/>
      <c r="F1" s="3"/>
      <c r="G1" s="3"/>
      <c r="H1" s="5"/>
    </row>
    <row r="2" ht="14.25" customHeight="1"/>
    <row r="3" ht="14.25" customHeight="1">
      <c r="A3" s="7" t="s">
        <v>10</v>
      </c>
      <c r="B3" s="8" t="s">
        <v>14</v>
      </c>
    </row>
    <row r="4" ht="14.25" customHeight="1">
      <c r="A4" s="9" t="s">
        <v>19</v>
      </c>
      <c r="B4" s="8" t="s">
        <v>22</v>
      </c>
    </row>
    <row r="5" ht="14.25" customHeight="1">
      <c r="A5" s="7" t="s">
        <v>24</v>
      </c>
      <c r="B5" s="8" t="s">
        <v>25</v>
      </c>
    </row>
    <row r="6" ht="14.25" customHeight="1">
      <c r="A6" s="9" t="s">
        <v>27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5">
        <v>9071.09</v>
      </c>
      <c r="H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5">
        <v>6803.32</v>
      </c>
      <c r="H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5">
        <v>13606.63</v>
      </c>
      <c r="H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5">
        <v>9827.01</v>
      </c>
      <c r="H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5">
        <v>22677.72</v>
      </c>
      <c r="H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5">
        <v>16630.33</v>
      </c>
      <c r="H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5">
        <v>22677.72</v>
      </c>
      <c r="H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5">
        <v>16630.33</v>
      </c>
      <c r="H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5">
        <v>4535.54</v>
      </c>
      <c r="H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5">
        <v>4535.54</v>
      </c>
      <c r="H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5">
        <v>3779.62</v>
      </c>
      <c r="H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5">
        <v>13606.63</v>
      </c>
      <c r="H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5">
        <v>1889.81</v>
      </c>
      <c r="H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5">
        <v>1889.81</v>
      </c>
      <c r="H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5">
        <v>3023.7</v>
      </c>
      <c r="H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5">
        <v>755.92</v>
      </c>
      <c r="H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5">
        <v>377.96</v>
      </c>
      <c r="H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</row>
    <row r="29" ht="14.25" customHeight="1">
      <c r="A29" s="21" t="s">
        <v>74</v>
      </c>
      <c r="B29" s="22" t="s">
        <v>75</v>
      </c>
      <c r="C29" s="21" t="s">
        <v>76</v>
      </c>
      <c r="D29" s="23">
        <v>14.5</v>
      </c>
      <c r="E29" s="24">
        <v>1370.11</v>
      </c>
      <c r="F29" s="19"/>
      <c r="G29" s="4"/>
      <c r="H29" s="4" t="s">
        <v>78</v>
      </c>
    </row>
    <row r="30" ht="14.25" customHeight="1">
      <c r="A30" s="25" t="s">
        <v>74</v>
      </c>
      <c r="B30" s="26" t="s">
        <v>80</v>
      </c>
      <c r="C30" s="25" t="s">
        <v>76</v>
      </c>
      <c r="D30" s="27">
        <v>11.5</v>
      </c>
      <c r="E30" s="28">
        <v>1086.64</v>
      </c>
      <c r="F30" s="19"/>
      <c r="G30" s="4"/>
      <c r="H30" s="4" t="s">
        <v>78</v>
      </c>
    </row>
    <row r="31" ht="14.25" customHeight="1">
      <c r="A31" s="25" t="s">
        <v>74</v>
      </c>
      <c r="B31" s="26" t="s">
        <v>82</v>
      </c>
      <c r="C31" s="25" t="s">
        <v>76</v>
      </c>
      <c r="D31" s="27">
        <v>6.5</v>
      </c>
      <c r="E31" s="28">
        <v>614.19</v>
      </c>
      <c r="F31" s="19"/>
      <c r="G31" s="4"/>
      <c r="H31" s="4" t="s">
        <v>78</v>
      </c>
    </row>
    <row r="32" ht="14.25" customHeight="1">
      <c r="A32" s="25" t="s">
        <v>74</v>
      </c>
      <c r="B32" s="26" t="s">
        <v>83</v>
      </c>
      <c r="C32" s="25" t="s">
        <v>76</v>
      </c>
      <c r="D32" s="27">
        <v>30.0</v>
      </c>
      <c r="E32" s="28">
        <v>2834.72</v>
      </c>
      <c r="F32" s="19"/>
      <c r="G32" s="4"/>
      <c r="H32" s="4" t="s">
        <v>78</v>
      </c>
    </row>
    <row r="33" ht="14.25" customHeight="1">
      <c r="A33" s="25" t="s">
        <v>74</v>
      </c>
      <c r="B33" s="26" t="s">
        <v>84</v>
      </c>
      <c r="C33" s="25" t="s">
        <v>76</v>
      </c>
      <c r="D33" s="27">
        <v>10.0</v>
      </c>
      <c r="E33" s="28">
        <v>944.91</v>
      </c>
      <c r="F33" s="19"/>
      <c r="G33" s="4"/>
      <c r="H33" s="4" t="s">
        <v>78</v>
      </c>
    </row>
    <row r="34" ht="14.25" customHeight="1">
      <c r="A34" s="25" t="s">
        <v>74</v>
      </c>
      <c r="B34" s="26" t="s">
        <v>85</v>
      </c>
      <c r="C34" s="25" t="s">
        <v>76</v>
      </c>
      <c r="D34" s="27">
        <v>10.0</v>
      </c>
      <c r="E34" s="28">
        <v>944.91</v>
      </c>
      <c r="F34" s="19"/>
      <c r="G34" s="4"/>
      <c r="H34" s="4" t="s">
        <v>78</v>
      </c>
    </row>
    <row r="35" ht="14.25" customHeight="1">
      <c r="A35" s="25" t="s">
        <v>74</v>
      </c>
      <c r="B35" s="26" t="s">
        <v>86</v>
      </c>
      <c r="C35" s="25" t="s">
        <v>76</v>
      </c>
      <c r="D35" s="27">
        <v>12.5</v>
      </c>
      <c r="E35" s="28">
        <v>1181.13</v>
      </c>
    </row>
    <row r="36" ht="14.25" customHeight="1">
      <c r="A36" s="25" t="s">
        <v>74</v>
      </c>
      <c r="B36" s="26" t="s">
        <v>87</v>
      </c>
      <c r="C36" s="25" t="s">
        <v>76</v>
      </c>
      <c r="D36" s="27">
        <v>0.0</v>
      </c>
      <c r="E36" s="28">
        <v>0.0</v>
      </c>
    </row>
    <row r="37" ht="14.25" customHeight="1">
      <c r="A37" s="25" t="s">
        <v>74</v>
      </c>
      <c r="B37" s="29" t="s">
        <v>88</v>
      </c>
      <c r="C37" s="25" t="s">
        <v>76</v>
      </c>
      <c r="D37" s="27">
        <v>15.0</v>
      </c>
      <c r="E37" s="28">
        <v>1417.36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H$37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7" width="18.0"/>
    <col customWidth="1" min="8" max="8" width="42.0"/>
    <col customWidth="1" min="9" max="25" width="8.71"/>
  </cols>
  <sheetData>
    <row r="1" ht="27.75" customHeight="1">
      <c r="A1" s="2" t="s">
        <v>2</v>
      </c>
      <c r="B1" s="3"/>
      <c r="C1" s="3"/>
      <c r="D1" s="3"/>
      <c r="E1" s="3"/>
      <c r="F1" s="3"/>
      <c r="G1" s="3"/>
      <c r="H1" s="5"/>
    </row>
    <row r="2" ht="14.25" customHeight="1"/>
    <row r="3" ht="14.25" customHeight="1">
      <c r="A3" s="7" t="s">
        <v>10</v>
      </c>
      <c r="B3" s="8" t="s">
        <v>13</v>
      </c>
    </row>
    <row r="4" ht="14.25" customHeight="1">
      <c r="A4" s="9" t="s">
        <v>19</v>
      </c>
      <c r="B4" s="8" t="s">
        <v>22</v>
      </c>
    </row>
    <row r="5" ht="14.25" customHeight="1">
      <c r="A5" s="7" t="s">
        <v>24</v>
      </c>
      <c r="B5" s="8" t="s">
        <v>25</v>
      </c>
    </row>
    <row r="6" ht="14.25" customHeight="1">
      <c r="A6" s="9" t="s">
        <v>27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2" t="s">
        <v>33</v>
      </c>
      <c r="B9" s="12" t="s">
        <v>39</v>
      </c>
      <c r="C9" s="12" t="s">
        <v>40</v>
      </c>
      <c r="D9" s="12" t="s">
        <v>42</v>
      </c>
      <c r="E9" s="12" t="s">
        <v>4</v>
      </c>
      <c r="F9" s="12" t="s">
        <v>43</v>
      </c>
      <c r="G9" s="12" t="s">
        <v>44</v>
      </c>
      <c r="H9" s="11" t="s">
        <v>6</v>
      </c>
    </row>
    <row r="10" ht="14.25" customHeight="1">
      <c r="A10" s="16" t="s">
        <v>45</v>
      </c>
      <c r="B10" s="16" t="s">
        <v>46</v>
      </c>
      <c r="C10" s="16" t="s">
        <v>47</v>
      </c>
      <c r="D10" s="16" t="s">
        <v>48</v>
      </c>
      <c r="E10" s="16" t="s">
        <v>49</v>
      </c>
      <c r="F10" s="17">
        <v>96.0</v>
      </c>
      <c r="G10" s="18">
        <v>9071.09</v>
      </c>
      <c r="H10" s="4" t="s">
        <v>50</v>
      </c>
    </row>
    <row r="11" ht="14.25" customHeight="1">
      <c r="A11" s="16" t="s">
        <v>45</v>
      </c>
      <c r="B11" s="16" t="s">
        <v>46</v>
      </c>
      <c r="C11" s="16" t="s">
        <v>47</v>
      </c>
      <c r="D11" s="16" t="s">
        <v>51</v>
      </c>
      <c r="E11" s="16" t="s">
        <v>49</v>
      </c>
      <c r="F11" s="17">
        <v>72.0</v>
      </c>
      <c r="G11" s="18">
        <v>6803.32</v>
      </c>
      <c r="H11" s="4" t="s">
        <v>50</v>
      </c>
    </row>
    <row r="12" ht="14.25" customHeight="1">
      <c r="A12" s="16" t="s">
        <v>45</v>
      </c>
      <c r="B12" s="16" t="s">
        <v>52</v>
      </c>
      <c r="C12" s="16" t="s">
        <v>47</v>
      </c>
      <c r="D12" s="16" t="s">
        <v>48</v>
      </c>
      <c r="E12" s="16" t="s">
        <v>49</v>
      </c>
      <c r="F12" s="17">
        <v>144.0</v>
      </c>
      <c r="G12" s="18">
        <v>13606.63</v>
      </c>
      <c r="H12" s="4" t="s">
        <v>50</v>
      </c>
    </row>
    <row r="13" ht="14.25" customHeight="1">
      <c r="A13" s="16" t="s">
        <v>45</v>
      </c>
      <c r="B13" s="16" t="s">
        <v>52</v>
      </c>
      <c r="C13" s="16" t="s">
        <v>47</v>
      </c>
      <c r="D13" s="16" t="s">
        <v>51</v>
      </c>
      <c r="E13" s="16" t="s">
        <v>49</v>
      </c>
      <c r="F13" s="17">
        <v>104.0</v>
      </c>
      <c r="G13" s="18">
        <v>9827.01</v>
      </c>
      <c r="H13" s="4" t="s">
        <v>50</v>
      </c>
    </row>
    <row r="14" ht="14.25" customHeight="1">
      <c r="A14" s="16" t="s">
        <v>45</v>
      </c>
      <c r="B14" s="16" t="s">
        <v>53</v>
      </c>
      <c r="C14" s="16" t="s">
        <v>47</v>
      </c>
      <c r="D14" s="16" t="s">
        <v>48</v>
      </c>
      <c r="E14" s="16" t="s">
        <v>49</v>
      </c>
      <c r="F14" s="17">
        <v>240.0</v>
      </c>
      <c r="G14" s="18">
        <v>22677.72</v>
      </c>
      <c r="H14" s="4" t="s">
        <v>50</v>
      </c>
    </row>
    <row r="15" ht="14.25" customHeight="1">
      <c r="A15" s="16" t="s">
        <v>45</v>
      </c>
      <c r="B15" s="16" t="s">
        <v>53</v>
      </c>
      <c r="C15" s="16" t="s">
        <v>47</v>
      </c>
      <c r="D15" s="16" t="s">
        <v>51</v>
      </c>
      <c r="E15" s="16" t="s">
        <v>49</v>
      </c>
      <c r="F15" s="17">
        <v>176.0</v>
      </c>
      <c r="G15" s="18">
        <v>16630.33</v>
      </c>
      <c r="H15" s="4" t="s">
        <v>50</v>
      </c>
    </row>
    <row r="16" ht="14.25" customHeight="1">
      <c r="A16" s="16" t="s">
        <v>45</v>
      </c>
      <c r="B16" s="16" t="s">
        <v>54</v>
      </c>
      <c r="C16" s="16" t="s">
        <v>47</v>
      </c>
      <c r="D16" s="16" t="s">
        <v>48</v>
      </c>
      <c r="E16" s="16" t="s">
        <v>49</v>
      </c>
      <c r="F16" s="17">
        <v>240.0</v>
      </c>
      <c r="G16" s="18">
        <v>22677.72</v>
      </c>
      <c r="H16" s="4" t="s">
        <v>50</v>
      </c>
    </row>
    <row r="17" ht="14.25" customHeight="1">
      <c r="A17" s="16" t="s">
        <v>45</v>
      </c>
      <c r="B17" s="16" t="s">
        <v>54</v>
      </c>
      <c r="C17" s="16" t="s">
        <v>47</v>
      </c>
      <c r="D17" s="16" t="s">
        <v>51</v>
      </c>
      <c r="E17" s="16" t="s">
        <v>49</v>
      </c>
      <c r="F17" s="17">
        <v>176.0</v>
      </c>
      <c r="G17" s="18">
        <v>16630.33</v>
      </c>
      <c r="H17" s="4" t="s">
        <v>50</v>
      </c>
    </row>
    <row r="18" ht="14.25" customHeight="1">
      <c r="A18" s="16" t="s">
        <v>55</v>
      </c>
      <c r="B18" s="16" t="s">
        <v>77</v>
      </c>
      <c r="C18" s="16" t="s">
        <v>57</v>
      </c>
      <c r="D18" s="16" t="s">
        <v>58</v>
      </c>
      <c r="E18" s="16" t="s">
        <v>59</v>
      </c>
      <c r="F18" s="17">
        <v>48.0</v>
      </c>
      <c r="G18" s="18">
        <v>4535.54</v>
      </c>
      <c r="H18" s="4" t="s">
        <v>60</v>
      </c>
    </row>
    <row r="19" ht="14.25" customHeight="1">
      <c r="A19" s="16" t="s">
        <v>55</v>
      </c>
      <c r="B19" s="16" t="s">
        <v>79</v>
      </c>
      <c r="C19" s="16" t="s">
        <v>57</v>
      </c>
      <c r="D19" s="16" t="s">
        <v>58</v>
      </c>
      <c r="E19" s="16" t="s">
        <v>59</v>
      </c>
      <c r="F19" s="17">
        <v>48.0</v>
      </c>
      <c r="G19" s="18">
        <v>4535.54</v>
      </c>
      <c r="H19" s="4" t="s">
        <v>60</v>
      </c>
    </row>
    <row r="20" ht="14.25" customHeight="1">
      <c r="A20" s="16" t="s">
        <v>55</v>
      </c>
      <c r="B20" s="16" t="s">
        <v>81</v>
      </c>
      <c r="C20" s="16" t="s">
        <v>57</v>
      </c>
      <c r="D20" s="16" t="s">
        <v>58</v>
      </c>
      <c r="E20" s="16" t="s">
        <v>59</v>
      </c>
      <c r="F20" s="17">
        <v>40.0</v>
      </c>
      <c r="G20" s="18">
        <v>3779.62</v>
      </c>
      <c r="H20" s="4" t="s">
        <v>60</v>
      </c>
    </row>
    <row r="21" ht="14.25" customHeight="1">
      <c r="A21" s="16" t="s">
        <v>55</v>
      </c>
      <c r="B21" s="16" t="s">
        <v>63</v>
      </c>
      <c r="C21" s="16" t="s">
        <v>57</v>
      </c>
      <c r="D21" s="16" t="s">
        <v>58</v>
      </c>
      <c r="E21" s="16" t="s">
        <v>59</v>
      </c>
      <c r="F21" s="17">
        <v>144.0</v>
      </c>
      <c r="G21" s="18">
        <v>13606.63</v>
      </c>
      <c r="H21" s="4" t="s">
        <v>60</v>
      </c>
    </row>
    <row r="22" ht="14.25" customHeight="1">
      <c r="A22" s="16" t="s">
        <v>55</v>
      </c>
      <c r="B22" s="16" t="s">
        <v>64</v>
      </c>
      <c r="C22" s="16" t="s">
        <v>57</v>
      </c>
      <c r="D22" s="16" t="s">
        <v>58</v>
      </c>
      <c r="E22" s="16" t="s">
        <v>59</v>
      </c>
      <c r="F22" s="17">
        <v>20.0</v>
      </c>
      <c r="G22" s="18">
        <v>1889.81</v>
      </c>
      <c r="H22" s="4" t="s">
        <v>60</v>
      </c>
    </row>
    <row r="23" ht="14.25" customHeight="1">
      <c r="A23" s="16" t="s">
        <v>65</v>
      </c>
      <c r="B23" s="16" t="s">
        <v>66</v>
      </c>
      <c r="C23" s="16" t="s">
        <v>57</v>
      </c>
      <c r="D23" s="16" t="s">
        <v>67</v>
      </c>
      <c r="E23" s="16" t="s">
        <v>68</v>
      </c>
      <c r="F23" s="17">
        <v>20.0</v>
      </c>
      <c r="G23" s="18">
        <v>1889.81</v>
      </c>
      <c r="H23" s="4" t="s">
        <v>69</v>
      </c>
    </row>
    <row r="24" ht="14.25" customHeight="1">
      <c r="A24" s="16" t="s">
        <v>65</v>
      </c>
      <c r="B24" s="16" t="s">
        <v>70</v>
      </c>
      <c r="C24" s="16" t="s">
        <v>57</v>
      </c>
      <c r="D24" s="16" t="s">
        <v>67</v>
      </c>
      <c r="E24" s="16" t="s">
        <v>68</v>
      </c>
      <c r="F24" s="17">
        <v>32.0</v>
      </c>
      <c r="G24" s="18">
        <v>3023.7</v>
      </c>
      <c r="H24" s="4" t="s">
        <v>69</v>
      </c>
    </row>
    <row r="25" ht="14.25" customHeight="1">
      <c r="A25" s="16" t="s">
        <v>65</v>
      </c>
      <c r="B25" s="16" t="s">
        <v>71</v>
      </c>
      <c r="C25" s="16" t="s">
        <v>57</v>
      </c>
      <c r="D25" s="16" t="s">
        <v>67</v>
      </c>
      <c r="E25" s="16" t="s">
        <v>68</v>
      </c>
      <c r="F25" s="17">
        <v>8.0</v>
      </c>
      <c r="G25" s="18">
        <v>755.92</v>
      </c>
      <c r="H25" s="4" t="s">
        <v>69</v>
      </c>
    </row>
    <row r="26" ht="14.25" customHeight="1">
      <c r="A26" s="16" t="s">
        <v>65</v>
      </c>
      <c r="B26" s="16" t="s">
        <v>89</v>
      </c>
      <c r="C26" s="16" t="s">
        <v>57</v>
      </c>
      <c r="D26" s="16" t="s">
        <v>67</v>
      </c>
      <c r="E26" s="16" t="s">
        <v>68</v>
      </c>
      <c r="F26" s="17">
        <v>4.0</v>
      </c>
      <c r="G26" s="18">
        <v>377.96</v>
      </c>
      <c r="H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</row>
    <row r="29" ht="14.25" customHeight="1">
      <c r="A29" s="21" t="s">
        <v>74</v>
      </c>
      <c r="B29" s="22" t="s">
        <v>90</v>
      </c>
      <c r="C29" s="21" t="s">
        <v>76</v>
      </c>
      <c r="D29" s="23">
        <v>10.0</v>
      </c>
      <c r="E29" s="24">
        <v>944.91</v>
      </c>
      <c r="F29" s="19"/>
      <c r="G29" s="4"/>
      <c r="H29" s="4" t="s">
        <v>78</v>
      </c>
    </row>
    <row r="30" ht="14.25" customHeight="1">
      <c r="A30" s="25" t="s">
        <v>74</v>
      </c>
      <c r="B30" s="26" t="s">
        <v>92</v>
      </c>
      <c r="C30" s="25" t="s">
        <v>76</v>
      </c>
      <c r="D30" s="27">
        <v>15.0</v>
      </c>
      <c r="E30" s="28">
        <v>1417.36</v>
      </c>
      <c r="F30" s="19"/>
      <c r="G30" s="4"/>
      <c r="H30" s="4" t="s">
        <v>78</v>
      </c>
    </row>
    <row r="31" ht="14.25" customHeight="1">
      <c r="A31" s="25" t="s">
        <v>74</v>
      </c>
      <c r="B31" s="26" t="s">
        <v>94</v>
      </c>
      <c r="C31" s="25" t="s">
        <v>76</v>
      </c>
      <c r="D31" s="27">
        <v>0.0</v>
      </c>
      <c r="E31" s="28">
        <v>0.0</v>
      </c>
      <c r="F31" s="19"/>
      <c r="G31" s="4"/>
      <c r="H31" s="4" t="s">
        <v>78</v>
      </c>
    </row>
    <row r="32" ht="14.25" customHeight="1">
      <c r="A32" s="25" t="s">
        <v>74</v>
      </c>
      <c r="B32" s="26" t="s">
        <v>95</v>
      </c>
      <c r="C32" s="25" t="s">
        <v>76</v>
      </c>
      <c r="D32" s="27">
        <v>0.0</v>
      </c>
      <c r="E32" s="28">
        <v>0.0</v>
      </c>
      <c r="F32" s="19"/>
      <c r="G32" s="4"/>
      <c r="H32" s="4" t="s">
        <v>78</v>
      </c>
    </row>
    <row r="33" ht="14.25" customHeight="1">
      <c r="A33" s="25" t="s">
        <v>74</v>
      </c>
      <c r="B33" s="26" t="s">
        <v>96</v>
      </c>
      <c r="C33" s="25" t="s">
        <v>76</v>
      </c>
      <c r="D33" s="27">
        <v>0.0</v>
      </c>
      <c r="E33" s="28">
        <v>0.0</v>
      </c>
      <c r="F33" s="19"/>
      <c r="G33" s="4"/>
      <c r="H33" s="4" t="s">
        <v>78</v>
      </c>
    </row>
    <row r="34" ht="14.25" customHeight="1">
      <c r="A34" s="25" t="s">
        <v>74</v>
      </c>
      <c r="B34" s="26" t="s">
        <v>98</v>
      </c>
      <c r="C34" s="25" t="s">
        <v>76</v>
      </c>
      <c r="D34" s="27">
        <v>10.0</v>
      </c>
      <c r="E34" s="28">
        <v>944.91</v>
      </c>
      <c r="F34" s="19"/>
      <c r="G34" s="4"/>
      <c r="H34" s="4" t="s">
        <v>78</v>
      </c>
    </row>
    <row r="35" ht="14.25" customHeight="1">
      <c r="A35" s="25" t="s">
        <v>74</v>
      </c>
      <c r="B35" s="26" t="s">
        <v>99</v>
      </c>
      <c r="C35" s="25" t="s">
        <v>76</v>
      </c>
      <c r="D35" s="27">
        <v>15.0</v>
      </c>
      <c r="E35" s="28">
        <v>1417.36</v>
      </c>
    </row>
    <row r="36" ht="14.25" customHeight="1">
      <c r="A36" s="25" t="s">
        <v>74</v>
      </c>
      <c r="B36" s="26" t="s">
        <v>101</v>
      </c>
      <c r="C36" s="25" t="s">
        <v>76</v>
      </c>
      <c r="D36" s="27">
        <v>5.0</v>
      </c>
      <c r="E36" s="28">
        <v>472.45</v>
      </c>
    </row>
    <row r="37" ht="14.25" customHeight="1">
      <c r="A37" s="25" t="s">
        <v>74</v>
      </c>
      <c r="B37" s="26" t="s">
        <v>102</v>
      </c>
      <c r="C37" s="25" t="s">
        <v>76</v>
      </c>
      <c r="D37" s="27">
        <v>0.0</v>
      </c>
      <c r="E37" s="28">
        <v>0.0</v>
      </c>
    </row>
    <row r="38" ht="14.25" customHeight="1">
      <c r="A38" s="30"/>
      <c r="B38" s="31"/>
      <c r="C38" s="30"/>
      <c r="D38" s="30"/>
      <c r="E38" s="30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H$38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7" width="42.0"/>
    <col customWidth="1" min="8" max="24" width="8.71"/>
  </cols>
  <sheetData>
    <row r="1" ht="27.75" customHeight="1">
      <c r="A1" s="2" t="s">
        <v>15</v>
      </c>
      <c r="B1" s="3"/>
      <c r="C1" s="3"/>
      <c r="D1" s="3"/>
      <c r="E1" s="3"/>
      <c r="F1" s="3"/>
      <c r="G1" s="5"/>
    </row>
    <row r="2" ht="14.25" customHeight="1"/>
    <row r="3" ht="14.25" customHeight="1">
      <c r="A3" s="7" t="s">
        <v>10</v>
      </c>
      <c r="B3" s="8" t="s">
        <v>35</v>
      </c>
    </row>
    <row r="4" ht="14.25" customHeight="1">
      <c r="A4" s="9" t="s">
        <v>19</v>
      </c>
      <c r="B4" s="8" t="s">
        <v>22</v>
      </c>
    </row>
    <row r="5" ht="14.25" customHeight="1">
      <c r="A5" s="7" t="s">
        <v>24</v>
      </c>
      <c r="B5" s="8" t="s">
        <v>25</v>
      </c>
    </row>
    <row r="6" ht="14.25" customHeight="1">
      <c r="A6" s="9" t="s">
        <v>27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2" t="s">
        <v>33</v>
      </c>
      <c r="B9" s="12" t="s">
        <v>39</v>
      </c>
      <c r="C9" s="12" t="s">
        <v>42</v>
      </c>
      <c r="D9" s="12" t="s">
        <v>4</v>
      </c>
      <c r="E9" s="12" t="s">
        <v>43</v>
      </c>
      <c r="F9" s="12" t="s">
        <v>44</v>
      </c>
      <c r="G9" s="11" t="s">
        <v>6</v>
      </c>
    </row>
    <row r="10" ht="14.25" customHeight="1">
      <c r="A10" s="16" t="s">
        <v>45</v>
      </c>
      <c r="B10" s="16" t="s">
        <v>46</v>
      </c>
      <c r="C10" s="16" t="s">
        <v>48</v>
      </c>
      <c r="D10" s="16" t="s">
        <v>49</v>
      </c>
      <c r="E10" s="17">
        <v>96.0</v>
      </c>
      <c r="F10" s="18">
        <v>9071.09</v>
      </c>
      <c r="G10" s="4" t="s">
        <v>50</v>
      </c>
    </row>
    <row r="11" ht="14.25" customHeight="1">
      <c r="A11" s="16" t="s">
        <v>45</v>
      </c>
      <c r="B11" s="16" t="s">
        <v>46</v>
      </c>
      <c r="C11" s="16" t="s">
        <v>51</v>
      </c>
      <c r="D11" s="16" t="s">
        <v>49</v>
      </c>
      <c r="E11" s="17">
        <v>72.0</v>
      </c>
      <c r="F11" s="18">
        <v>6803.32</v>
      </c>
      <c r="G11" s="4" t="s">
        <v>50</v>
      </c>
    </row>
    <row r="12" ht="14.25" customHeight="1">
      <c r="A12" s="16" t="s">
        <v>45</v>
      </c>
      <c r="B12" s="16" t="s">
        <v>52</v>
      </c>
      <c r="C12" s="16" t="s">
        <v>48</v>
      </c>
      <c r="D12" s="16" t="s">
        <v>49</v>
      </c>
      <c r="E12" s="17">
        <v>144.0</v>
      </c>
      <c r="F12" s="18">
        <v>13606.63</v>
      </c>
      <c r="G12" s="4" t="s">
        <v>50</v>
      </c>
    </row>
    <row r="13" ht="14.25" customHeight="1">
      <c r="A13" s="16" t="s">
        <v>45</v>
      </c>
      <c r="B13" s="16" t="s">
        <v>52</v>
      </c>
      <c r="C13" s="16" t="s">
        <v>51</v>
      </c>
      <c r="D13" s="16" t="s">
        <v>49</v>
      </c>
      <c r="E13" s="17">
        <v>104.0</v>
      </c>
      <c r="F13" s="18">
        <v>9827.01</v>
      </c>
      <c r="G13" s="4" t="s">
        <v>50</v>
      </c>
    </row>
    <row r="14" ht="14.25" customHeight="1">
      <c r="A14" s="16" t="s">
        <v>45</v>
      </c>
      <c r="B14" s="16" t="s">
        <v>53</v>
      </c>
      <c r="C14" s="16" t="s">
        <v>48</v>
      </c>
      <c r="D14" s="16" t="s">
        <v>49</v>
      </c>
      <c r="E14" s="17">
        <v>240.0</v>
      </c>
      <c r="F14" s="18">
        <v>22677.72</v>
      </c>
      <c r="G14" s="4" t="s">
        <v>50</v>
      </c>
    </row>
    <row r="15" ht="14.25" customHeight="1">
      <c r="A15" s="16" t="s">
        <v>45</v>
      </c>
      <c r="B15" s="16" t="s">
        <v>53</v>
      </c>
      <c r="C15" s="16" t="s">
        <v>51</v>
      </c>
      <c r="D15" s="16" t="s">
        <v>49</v>
      </c>
      <c r="E15" s="17">
        <v>176.0</v>
      </c>
      <c r="F15" s="18">
        <v>16630.33</v>
      </c>
      <c r="G15" s="4" t="s">
        <v>50</v>
      </c>
    </row>
    <row r="16" ht="14.25" customHeight="1">
      <c r="A16" s="16" t="s">
        <v>45</v>
      </c>
      <c r="B16" s="16" t="s">
        <v>54</v>
      </c>
      <c r="C16" s="16" t="s">
        <v>48</v>
      </c>
      <c r="D16" s="16" t="s">
        <v>49</v>
      </c>
      <c r="E16" s="17">
        <v>240.0</v>
      </c>
      <c r="F16" s="18">
        <v>22677.72</v>
      </c>
      <c r="G16" s="4" t="s">
        <v>50</v>
      </c>
    </row>
    <row r="17" ht="14.25" customHeight="1">
      <c r="A17" s="16" t="s">
        <v>45</v>
      </c>
      <c r="B17" s="16" t="s">
        <v>54</v>
      </c>
      <c r="C17" s="16" t="s">
        <v>51</v>
      </c>
      <c r="D17" s="16" t="s">
        <v>49</v>
      </c>
      <c r="E17" s="17">
        <v>176.0</v>
      </c>
      <c r="F17" s="18">
        <v>16630.33</v>
      </c>
      <c r="G17" s="4" t="s">
        <v>50</v>
      </c>
    </row>
    <row r="18" ht="14.25" customHeight="1">
      <c r="A18" s="16" t="s">
        <v>55</v>
      </c>
      <c r="B18" s="16" t="s">
        <v>77</v>
      </c>
      <c r="C18" s="16" t="s">
        <v>58</v>
      </c>
      <c r="D18" s="16" t="s">
        <v>59</v>
      </c>
      <c r="E18" s="17">
        <v>48.0</v>
      </c>
      <c r="F18" s="18">
        <v>4535.54</v>
      </c>
      <c r="G18" s="4" t="s">
        <v>60</v>
      </c>
    </row>
    <row r="19" ht="14.25" customHeight="1">
      <c r="A19" s="16" t="s">
        <v>55</v>
      </c>
      <c r="B19" s="16" t="s">
        <v>79</v>
      </c>
      <c r="C19" s="16" t="s">
        <v>58</v>
      </c>
      <c r="D19" s="16" t="s">
        <v>59</v>
      </c>
      <c r="E19" s="17">
        <v>48.0</v>
      </c>
      <c r="F19" s="18">
        <v>4535.54</v>
      </c>
      <c r="G19" s="4" t="s">
        <v>60</v>
      </c>
    </row>
    <row r="20" ht="14.25" customHeight="1">
      <c r="A20" s="16" t="s">
        <v>55</v>
      </c>
      <c r="B20" s="16" t="s">
        <v>81</v>
      </c>
      <c r="C20" s="16" t="s">
        <v>58</v>
      </c>
      <c r="D20" s="16" t="s">
        <v>59</v>
      </c>
      <c r="E20" s="17">
        <v>40.0</v>
      </c>
      <c r="F20" s="18">
        <v>3779.62</v>
      </c>
      <c r="G20" s="4" t="s">
        <v>60</v>
      </c>
    </row>
    <row r="21" ht="14.25" customHeight="1">
      <c r="A21" s="16" t="s">
        <v>55</v>
      </c>
      <c r="B21" s="16" t="s">
        <v>63</v>
      </c>
      <c r="C21" s="16" t="s">
        <v>58</v>
      </c>
      <c r="D21" s="16" t="s">
        <v>59</v>
      </c>
      <c r="E21" s="17">
        <v>144.0</v>
      </c>
      <c r="F21" s="18">
        <v>13606.63</v>
      </c>
      <c r="G21" s="4" t="s">
        <v>60</v>
      </c>
    </row>
    <row r="22" ht="14.25" customHeight="1">
      <c r="A22" s="16" t="s">
        <v>55</v>
      </c>
      <c r="B22" s="16" t="s">
        <v>64</v>
      </c>
      <c r="C22" s="16" t="s">
        <v>58</v>
      </c>
      <c r="D22" s="16" t="s">
        <v>59</v>
      </c>
      <c r="E22" s="17">
        <v>20.0</v>
      </c>
      <c r="F22" s="18">
        <v>1889.81</v>
      </c>
      <c r="G22" s="4" t="s">
        <v>60</v>
      </c>
    </row>
    <row r="23" ht="14.25" customHeight="1">
      <c r="A23" s="16" t="s">
        <v>65</v>
      </c>
      <c r="B23" s="16" t="s">
        <v>66</v>
      </c>
      <c r="C23" s="16" t="s">
        <v>67</v>
      </c>
      <c r="D23" s="16" t="s">
        <v>68</v>
      </c>
      <c r="E23" s="17">
        <v>20.0</v>
      </c>
      <c r="F23" s="18">
        <v>1889.81</v>
      </c>
      <c r="G23" s="4" t="s">
        <v>69</v>
      </c>
    </row>
    <row r="24" ht="14.25" customHeight="1">
      <c r="A24" s="16" t="s">
        <v>65</v>
      </c>
      <c r="B24" s="16" t="s">
        <v>70</v>
      </c>
      <c r="C24" s="16" t="s">
        <v>67</v>
      </c>
      <c r="D24" s="16" t="s">
        <v>68</v>
      </c>
      <c r="E24" s="17">
        <v>32.0</v>
      </c>
      <c r="F24" s="18">
        <v>3023.7</v>
      </c>
      <c r="G24" s="4" t="s">
        <v>69</v>
      </c>
    </row>
    <row r="25" ht="14.25" customHeight="1">
      <c r="A25" s="16" t="s">
        <v>65</v>
      </c>
      <c r="B25" s="16" t="s">
        <v>71</v>
      </c>
      <c r="C25" s="16" t="s">
        <v>67</v>
      </c>
      <c r="D25" s="16" t="s">
        <v>68</v>
      </c>
      <c r="E25" s="17">
        <v>8.0</v>
      </c>
      <c r="F25" s="18">
        <v>755.92</v>
      </c>
      <c r="G25" s="4" t="s">
        <v>69</v>
      </c>
    </row>
    <row r="26" ht="14.25" customHeight="1">
      <c r="A26" s="16" t="s">
        <v>65</v>
      </c>
      <c r="B26" s="16" t="s">
        <v>89</v>
      </c>
      <c r="C26" s="16" t="s">
        <v>67</v>
      </c>
      <c r="D26" s="16" t="s">
        <v>68</v>
      </c>
      <c r="E26" s="17">
        <v>4.0</v>
      </c>
      <c r="F26" s="18">
        <v>377.96</v>
      </c>
      <c r="G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</row>
    <row r="29" ht="14.25" customHeight="1">
      <c r="A29" s="21" t="s">
        <v>74</v>
      </c>
      <c r="B29" s="22" t="s">
        <v>91</v>
      </c>
      <c r="C29" s="21" t="s">
        <v>76</v>
      </c>
      <c r="D29" s="23">
        <v>10.0</v>
      </c>
      <c r="E29" s="24">
        <v>944.91</v>
      </c>
      <c r="F29" s="19"/>
      <c r="G29" s="4" t="s">
        <v>78</v>
      </c>
    </row>
    <row r="30" ht="14.25" customHeight="1">
      <c r="A30" s="25" t="s">
        <v>74</v>
      </c>
      <c r="B30" s="26" t="s">
        <v>93</v>
      </c>
      <c r="C30" s="25" t="s">
        <v>76</v>
      </c>
      <c r="D30" s="27">
        <v>5.0</v>
      </c>
      <c r="E30" s="28">
        <v>472.45</v>
      </c>
      <c r="F30" s="19"/>
      <c r="G30" s="4" t="s">
        <v>78</v>
      </c>
    </row>
    <row r="31" ht="14.25" customHeight="1">
      <c r="A31" s="25" t="s">
        <v>74</v>
      </c>
      <c r="B31" s="26" t="s">
        <v>97</v>
      </c>
      <c r="C31" s="25" t="s">
        <v>76</v>
      </c>
      <c r="D31" s="27">
        <v>0.0</v>
      </c>
      <c r="E31" s="28">
        <v>0.0</v>
      </c>
      <c r="F31" s="19"/>
      <c r="G31" s="4" t="s">
        <v>78</v>
      </c>
    </row>
    <row r="32" ht="14.25" customHeight="1">
      <c r="A32" s="25" t="s">
        <v>74</v>
      </c>
      <c r="B32" s="26" t="s">
        <v>100</v>
      </c>
      <c r="C32" s="25" t="s">
        <v>76</v>
      </c>
      <c r="D32" s="27">
        <v>5.0</v>
      </c>
      <c r="E32" s="28">
        <v>472.45</v>
      </c>
      <c r="F32" s="19"/>
      <c r="G32" s="4" t="s">
        <v>78</v>
      </c>
    </row>
    <row r="33" ht="14.25" customHeight="1">
      <c r="A33" s="25" t="s">
        <v>74</v>
      </c>
      <c r="B33" s="26" t="s">
        <v>103</v>
      </c>
      <c r="C33" s="25" t="s">
        <v>76</v>
      </c>
      <c r="D33" s="27">
        <v>5.0</v>
      </c>
      <c r="E33" s="28">
        <v>472.45</v>
      </c>
      <c r="F33" s="19"/>
      <c r="G33" s="4" t="s">
        <v>78</v>
      </c>
    </row>
    <row r="34" ht="14.25" customHeight="1">
      <c r="A34" s="25" t="s">
        <v>74</v>
      </c>
      <c r="B34" s="26" t="s">
        <v>104</v>
      </c>
      <c r="C34" s="25" t="s">
        <v>76</v>
      </c>
      <c r="D34" s="27">
        <v>0.0</v>
      </c>
      <c r="E34" s="28">
        <v>0.0</v>
      </c>
      <c r="F34" s="19"/>
      <c r="G34" s="4" t="s">
        <v>78</v>
      </c>
    </row>
    <row r="35" ht="14.25" customHeight="1">
      <c r="A35" s="25" t="s">
        <v>74</v>
      </c>
      <c r="B35" s="26" t="s">
        <v>105</v>
      </c>
      <c r="C35" s="25" t="s">
        <v>76</v>
      </c>
      <c r="D35" s="27">
        <v>0.0</v>
      </c>
      <c r="E35" s="28">
        <v>0.0</v>
      </c>
    </row>
    <row r="36" ht="14.25" customHeight="1">
      <c r="A36" s="25" t="s">
        <v>74</v>
      </c>
      <c r="B36" s="26" t="s">
        <v>106</v>
      </c>
      <c r="C36" s="25" t="s">
        <v>76</v>
      </c>
      <c r="D36" s="27">
        <v>3.0</v>
      </c>
      <c r="E36" s="28">
        <v>283.47</v>
      </c>
    </row>
    <row r="37" ht="14.25" customHeight="1">
      <c r="A37" s="25" t="s">
        <v>74</v>
      </c>
      <c r="B37" s="26" t="s">
        <v>107</v>
      </c>
      <c r="C37" s="25" t="s">
        <v>76</v>
      </c>
      <c r="D37" s="27">
        <v>0.0</v>
      </c>
      <c r="E37" s="28">
        <v>0.0</v>
      </c>
    </row>
    <row r="38" ht="14.25" customHeight="1">
      <c r="A38" s="25" t="s">
        <v>74</v>
      </c>
      <c r="B38" s="29" t="s">
        <v>108</v>
      </c>
      <c r="C38" s="25" t="s">
        <v>76</v>
      </c>
      <c r="D38" s="27">
        <v>0.0</v>
      </c>
      <c r="E38" s="28">
        <v>0.0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G$38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109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110</v>
      </c>
    </row>
    <row r="4" ht="14.25" customHeight="1">
      <c r="A4" s="9" t="s">
        <v>19</v>
      </c>
      <c r="B4" s="8" t="s">
        <v>22</v>
      </c>
    </row>
    <row r="5" ht="14.25" customHeight="1">
      <c r="A5" s="7" t="s">
        <v>24</v>
      </c>
      <c r="B5" s="8" t="s">
        <v>25</v>
      </c>
    </row>
    <row r="6" ht="14.25" customHeight="1">
      <c r="A6" s="9" t="s">
        <v>27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32" t="s">
        <v>111</v>
      </c>
      <c r="B10" s="4" t="s">
        <v>46</v>
      </c>
      <c r="C10" s="4" t="s">
        <v>47</v>
      </c>
      <c r="D10" s="4" t="s">
        <v>48</v>
      </c>
      <c r="E10" s="4" t="s">
        <v>49</v>
      </c>
      <c r="F10" s="33">
        <v>96.0</v>
      </c>
      <c r="G10" s="34">
        <f>IFERROR(__xludf.DUMMYFUNCTION("F10*GOOGLEFINANCE(""CURRENCY:USDINR"")"),9071.088000000002)</f>
        <v>9071.088</v>
      </c>
      <c r="H10" s="4"/>
      <c r="I10" s="4" t="s">
        <v>50</v>
      </c>
    </row>
    <row r="11" ht="14.25" customHeight="1">
      <c r="A11" s="32" t="s">
        <v>111</v>
      </c>
      <c r="B11" s="4" t="s">
        <v>46</v>
      </c>
      <c r="C11" s="4" t="s">
        <v>47</v>
      </c>
      <c r="D11" s="4" t="s">
        <v>51</v>
      </c>
      <c r="E11" s="4" t="s">
        <v>49</v>
      </c>
      <c r="F11" s="33">
        <v>72.0</v>
      </c>
      <c r="G11" s="34">
        <f>IFERROR(__xludf.DUMMYFUNCTION("F11*GOOGLEFINANCE(""CURRENCY:USDINR"")"),6803.316000000001)</f>
        <v>6803.316</v>
      </c>
      <c r="H11" s="4"/>
      <c r="I11" s="4" t="s">
        <v>50</v>
      </c>
    </row>
    <row r="12" ht="14.25" customHeight="1">
      <c r="A12" s="32" t="s">
        <v>111</v>
      </c>
      <c r="B12" s="4" t="s">
        <v>52</v>
      </c>
      <c r="C12" s="4" t="s">
        <v>47</v>
      </c>
      <c r="D12" s="4" t="s">
        <v>48</v>
      </c>
      <c r="E12" s="4" t="s">
        <v>49</v>
      </c>
      <c r="F12" s="33">
        <v>144.0</v>
      </c>
      <c r="G12" s="34">
        <f>IFERROR(__xludf.DUMMYFUNCTION("F12*GOOGLEFINANCE(""CURRENCY:USDINR"")"),13606.632000000001)</f>
        <v>13606.632</v>
      </c>
      <c r="H12" s="4"/>
      <c r="I12" s="4" t="s">
        <v>50</v>
      </c>
    </row>
    <row r="13" ht="14.25" customHeight="1">
      <c r="A13" s="32" t="s">
        <v>111</v>
      </c>
      <c r="B13" s="4" t="s">
        <v>52</v>
      </c>
      <c r="C13" s="4" t="s">
        <v>47</v>
      </c>
      <c r="D13" s="4" t="s">
        <v>51</v>
      </c>
      <c r="E13" s="4" t="s">
        <v>49</v>
      </c>
      <c r="F13" s="33">
        <v>104.0</v>
      </c>
      <c r="G13" s="34">
        <f>IFERROR(__xludf.DUMMYFUNCTION("F13*GOOGLEFINANCE(""CURRENCY:USDINR"")"),9827.012)</f>
        <v>9827.012</v>
      </c>
      <c r="H13" s="4"/>
      <c r="I13" s="4" t="s">
        <v>50</v>
      </c>
    </row>
    <row r="14" ht="14.25" customHeight="1">
      <c r="A14" s="32" t="s">
        <v>111</v>
      </c>
      <c r="B14" s="4" t="s">
        <v>53</v>
      </c>
      <c r="C14" s="4" t="s">
        <v>47</v>
      </c>
      <c r="D14" s="4" t="s">
        <v>48</v>
      </c>
      <c r="E14" s="4" t="s">
        <v>49</v>
      </c>
      <c r="F14" s="33">
        <v>240.0</v>
      </c>
      <c r="G14" s="34">
        <f>IFERROR(__xludf.DUMMYFUNCTION("F14*GOOGLEFINANCE(""CURRENCY:USDINR"")"),22677.72)</f>
        <v>22677.72</v>
      </c>
      <c r="H14" s="4"/>
      <c r="I14" s="4" t="s">
        <v>50</v>
      </c>
    </row>
    <row r="15" ht="14.25" customHeight="1">
      <c r="A15" s="32" t="s">
        <v>111</v>
      </c>
      <c r="B15" s="4" t="s">
        <v>53</v>
      </c>
      <c r="C15" s="4" t="s">
        <v>47</v>
      </c>
      <c r="D15" s="4" t="s">
        <v>51</v>
      </c>
      <c r="E15" s="4" t="s">
        <v>49</v>
      </c>
      <c r="F15" s="33">
        <v>176.0</v>
      </c>
      <c r="G15" s="34">
        <f>IFERROR(__xludf.DUMMYFUNCTION("F15*GOOGLEFINANCE(""CURRENCY:USDINR"")"),16630.328)</f>
        <v>16630.328</v>
      </c>
      <c r="H15" s="4"/>
      <c r="I15" s="4" t="s">
        <v>50</v>
      </c>
    </row>
    <row r="16" ht="14.25" customHeight="1">
      <c r="A16" s="32" t="s">
        <v>111</v>
      </c>
      <c r="B16" s="4" t="s">
        <v>54</v>
      </c>
      <c r="C16" s="4" t="s">
        <v>47</v>
      </c>
      <c r="D16" s="4" t="s">
        <v>48</v>
      </c>
      <c r="E16" s="4" t="s">
        <v>49</v>
      </c>
      <c r="F16" s="33">
        <v>240.0</v>
      </c>
      <c r="G16" s="34">
        <f>IFERROR(__xludf.DUMMYFUNCTION("F16*GOOGLEFINANCE(""CURRENCY:USDINR"")"),22677.72)</f>
        <v>22677.72</v>
      </c>
      <c r="H16" s="4"/>
      <c r="I16" s="4" t="s">
        <v>50</v>
      </c>
    </row>
    <row r="17" ht="14.25" customHeight="1">
      <c r="A17" s="32" t="s">
        <v>111</v>
      </c>
      <c r="B17" s="4" t="s">
        <v>54</v>
      </c>
      <c r="C17" s="4" t="s">
        <v>47</v>
      </c>
      <c r="D17" s="4" t="s">
        <v>51</v>
      </c>
      <c r="E17" s="4" t="s">
        <v>49</v>
      </c>
      <c r="F17" s="33">
        <v>176.0</v>
      </c>
      <c r="G17" s="34">
        <f>IFERROR(__xludf.DUMMYFUNCTION("F17*GOOGLEFINANCE(""CURRENCY:USDINR"")"),16630.328)</f>
        <v>16630.328</v>
      </c>
      <c r="H17" s="4"/>
      <c r="I17" s="4" t="s">
        <v>50</v>
      </c>
    </row>
    <row r="18" ht="14.25" customHeight="1">
      <c r="A18" s="4" t="s">
        <v>55</v>
      </c>
      <c r="B18" s="32" t="s">
        <v>117</v>
      </c>
      <c r="C18" s="4" t="s">
        <v>57</v>
      </c>
      <c r="D18" s="4" t="s">
        <v>58</v>
      </c>
      <c r="E18" s="4" t="s">
        <v>59</v>
      </c>
      <c r="F18" s="33">
        <v>48.0</v>
      </c>
      <c r="G18" s="34">
        <f>IFERROR(__xludf.DUMMYFUNCTION("F18*GOOGLEFINANCE(""CURRENCY:USDINR"")"),4535.544000000001)</f>
        <v>4535.544</v>
      </c>
      <c r="H18" s="4"/>
      <c r="I18" s="4" t="s">
        <v>60</v>
      </c>
    </row>
    <row r="19" ht="14.25" customHeight="1">
      <c r="A19" s="4" t="s">
        <v>55</v>
      </c>
      <c r="B19" s="32" t="s">
        <v>118</v>
      </c>
      <c r="C19" s="4" t="s">
        <v>57</v>
      </c>
      <c r="D19" s="4" t="s">
        <v>58</v>
      </c>
      <c r="E19" s="4" t="s">
        <v>59</v>
      </c>
      <c r="F19" s="33">
        <v>48.0</v>
      </c>
      <c r="G19" s="34">
        <f>IFERROR(__xludf.DUMMYFUNCTION("F19*GOOGLEFINANCE(""CURRENCY:USDINR"")"),4535.544000000001)</f>
        <v>4535.544</v>
      </c>
      <c r="H19" s="4"/>
      <c r="I19" s="4" t="s">
        <v>60</v>
      </c>
    </row>
    <row r="20" ht="14.25" customHeight="1">
      <c r="A20" s="4" t="s">
        <v>55</v>
      </c>
      <c r="B20" s="32" t="s">
        <v>119</v>
      </c>
      <c r="C20" s="4" t="s">
        <v>57</v>
      </c>
      <c r="D20" s="4" t="s">
        <v>58</v>
      </c>
      <c r="E20" s="4" t="s">
        <v>59</v>
      </c>
      <c r="F20" s="33">
        <v>40.0</v>
      </c>
      <c r="G20" s="34">
        <f>IFERROR(__xludf.DUMMYFUNCTION("F20*GOOGLEFINANCE(""CURRENCY:USDINR"")"),3779.6200000000003)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32" t="s">
        <v>120</v>
      </c>
      <c r="D21" s="32" t="s">
        <v>120</v>
      </c>
      <c r="E21" s="32" t="s">
        <v>120</v>
      </c>
      <c r="F21" s="33">
        <v>144.0</v>
      </c>
      <c r="G21" s="34">
        <f>IFERROR(__xludf.DUMMYFUNCTION("F21*GOOGLEFINANCE(""CURRENCY:USDINR"")"),13606.632000000001)</f>
        <v>13606.632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32" t="s">
        <v>120</v>
      </c>
      <c r="D22" s="32" t="s">
        <v>120</v>
      </c>
      <c r="E22" s="32" t="s">
        <v>120</v>
      </c>
      <c r="F22" s="33">
        <v>20.0</v>
      </c>
      <c r="G22" s="34">
        <f>IFERROR(__xludf.DUMMYFUNCTION("F22*GOOGLEFINANCE(""CURRENCY:USDINR"")"),1889.8100000000002)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33">
        <v>20.0</v>
      </c>
      <c r="G23" s="34">
        <f>IFERROR(__xludf.DUMMYFUNCTION("F23*GOOGLEFINANCE(""CURRENCY:USDINR"")"),1889.8100000000002)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33">
        <v>32.0</v>
      </c>
      <c r="G24" s="34">
        <f>IFERROR(__xludf.DUMMYFUNCTION("F24*GOOGLEFINANCE(""CURRENCY:USDINR"")"),3023.6960000000004)</f>
        <v>3023.696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33">
        <v>8.0</v>
      </c>
      <c r="G25" s="34">
        <f>IFERROR(__xludf.DUMMYFUNCTION("F25*GOOGLEFINANCE(""CURRENCY:USDINR"")"),755.9240000000001)</f>
        <v>755.924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33">
        <v>4.0</v>
      </c>
      <c r="G26" s="34">
        <f>IFERROR(__xludf.DUMMYFUNCTION("F26*GOOGLEFINANCE(""CURRENCY:USDINR"")"),377.96200000000005)</f>
        <v>377.962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123</v>
      </c>
      <c r="C29" s="21" t="s">
        <v>76</v>
      </c>
      <c r="D29" s="35">
        <v>14.5</v>
      </c>
      <c r="E29" s="36">
        <f>IFERROR(__xludf.DUMMYFUNCTION("D29*GOOGLEFINANCE(""CURRENCY:USDINR"")"),1370.1122500000001)</f>
        <v>1370.11225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127</v>
      </c>
      <c r="C30" s="25" t="s">
        <v>76</v>
      </c>
      <c r="D30" s="42">
        <v>11.5</v>
      </c>
      <c r="E30" s="43">
        <f>IFERROR(__xludf.DUMMYFUNCTION("D30*GOOGLEFINANCE(""CURRENCY:USDINR"")"),1086.64075)</f>
        <v>1086.64075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128</v>
      </c>
      <c r="C31" s="25" t="s">
        <v>76</v>
      </c>
      <c r="D31" s="42">
        <v>6.5</v>
      </c>
      <c r="E31" s="43">
        <f>IFERROR(__xludf.DUMMYFUNCTION("D31*GOOGLEFINANCE(""CURRENCY:USDINR"")"),614.18825)</f>
        <v>614.18825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129</v>
      </c>
      <c r="C32" s="25" t="s">
        <v>76</v>
      </c>
      <c r="D32" s="42">
        <v>30.0</v>
      </c>
      <c r="E32" s="43">
        <f>IFERROR(__xludf.DUMMYFUNCTION("D32*GOOGLEFINANCE(""CURRENCY:USDINR"")"),2834.715)</f>
        <v>2834.715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130</v>
      </c>
      <c r="C33" s="25" t="s">
        <v>76</v>
      </c>
      <c r="D33" s="42">
        <v>10.0</v>
      </c>
      <c r="E33" s="43">
        <f>IFERROR(__xludf.DUMMYFUNCTION("D33*GOOGLEFINANCE(""CURRENCY:USDINR"")"),944.9050000000001)</f>
        <v>944.905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131</v>
      </c>
      <c r="C34" s="25" t="s">
        <v>76</v>
      </c>
      <c r="D34" s="42">
        <v>10.0</v>
      </c>
      <c r="E34" s="43">
        <f>IFERROR(__xludf.DUMMYFUNCTION("D34*GOOGLEFINANCE(""CURRENCY:USDINR"")"),944.9050000000001)</f>
        <v>944.905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132</v>
      </c>
      <c r="C35" s="25" t="s">
        <v>76</v>
      </c>
      <c r="D35" s="42">
        <v>12.5</v>
      </c>
      <c r="E35" s="43">
        <f>IFERROR(__xludf.DUMMYFUNCTION("D35*GOOGLEFINANCE(""CURRENCY:USDINR"")"),1181.1312500000001)</f>
        <v>1181.13125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133</v>
      </c>
      <c r="C36" s="25" t="s">
        <v>76</v>
      </c>
      <c r="D36" s="42">
        <v>0.0</v>
      </c>
      <c r="E36" s="43">
        <f>IFERROR(__xludf.DUMMYFUNCTION("D36*GOOGLEFINANCE(""CURRENCY:USDINR"")"),0.0)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134</v>
      </c>
      <c r="C37" s="25" t="s">
        <v>76</v>
      </c>
      <c r="D37" s="42">
        <v>10.0</v>
      </c>
      <c r="E37" s="43">
        <f>IFERROR(__xludf.DUMMYFUNCTION("D37*GOOGLEFINANCE(""CURRENCY:USDINR"")"),944.9050000000001)</f>
        <v>944.905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135</v>
      </c>
      <c r="C38" s="25" t="s">
        <v>76</v>
      </c>
      <c r="D38" s="42">
        <v>10.0</v>
      </c>
      <c r="E38" s="43">
        <f>IFERROR(__xludf.DUMMYFUNCTION("D38*GOOGLEFINANCE(""CURRENCY:USDINR"")"),944.9050000000001)</f>
        <v>944.905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136</v>
      </c>
      <c r="C39" s="25" t="s">
        <v>76</v>
      </c>
      <c r="D39" s="42">
        <v>15.0</v>
      </c>
      <c r="E39" s="43">
        <f>IFERROR(__xludf.DUMMYFUNCTION("D39*GOOGLEFINANCE(""CURRENCY:USDINR"")"),1417.3575)</f>
        <v>1417.3575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137</v>
      </c>
      <c r="C40" s="37" t="s">
        <v>76</v>
      </c>
      <c r="D40" s="46">
        <v>17.0</v>
      </c>
      <c r="E40" s="47">
        <f>IFERROR(__xludf.DUMMYFUNCTION("D40*GOOGLEFINANCE(""CURRENCY:USDINR"")"),1606.3385000000003)</f>
        <v>1606.3385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112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113</v>
      </c>
    </row>
    <row r="4" ht="14.25" customHeight="1">
      <c r="A4" s="9" t="s">
        <v>19</v>
      </c>
      <c r="B4" s="8" t="s">
        <v>114</v>
      </c>
    </row>
    <row r="5" ht="14.25" customHeight="1">
      <c r="A5" s="7" t="s">
        <v>24</v>
      </c>
      <c r="B5" s="8" t="s">
        <v>115</v>
      </c>
    </row>
    <row r="6" ht="14.25" customHeight="1">
      <c r="A6" s="9" t="s">
        <v>116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216.0</v>
      </c>
      <c r="G10" s="15">
        <v>20409.95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162.0</v>
      </c>
      <c r="G11" s="15">
        <v>15307.46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324.0</v>
      </c>
      <c r="G12" s="15">
        <v>30614.92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234.0</v>
      </c>
      <c r="G13" s="15">
        <v>22110.78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540.0</v>
      </c>
      <c r="G14" s="15">
        <v>51024.87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396.0</v>
      </c>
      <c r="G15" s="15">
        <v>37418.24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540.0</v>
      </c>
      <c r="G16" s="15">
        <v>51024.87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396.0</v>
      </c>
      <c r="G17" s="15">
        <v>37418.24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108.0</v>
      </c>
      <c r="G18" s="15">
        <v>10204.97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108.0</v>
      </c>
      <c r="G19" s="15">
        <v>10204.97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90.0</v>
      </c>
      <c r="G20" s="15">
        <v>8504.15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324.0</v>
      </c>
      <c r="G21" s="15">
        <v>30614.92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45.0</v>
      </c>
      <c r="G22" s="15">
        <v>4252.07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45.0</v>
      </c>
      <c r="G23" s="15">
        <v>4252.07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72.0</v>
      </c>
      <c r="G24" s="15">
        <v>6803.32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18.0</v>
      </c>
      <c r="G25" s="15">
        <v>1700.83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9.0</v>
      </c>
      <c r="G26" s="15">
        <v>850.41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121</v>
      </c>
      <c r="C29" s="21" t="s">
        <v>76</v>
      </c>
      <c r="D29" s="23">
        <v>90.0</v>
      </c>
      <c r="E29" s="24">
        <v>8504.15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122</v>
      </c>
      <c r="C30" s="25" t="s">
        <v>76</v>
      </c>
      <c r="D30" s="27">
        <v>90.0</v>
      </c>
      <c r="E30" s="28">
        <v>8504.15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124</v>
      </c>
      <c r="C31" s="25" t="s">
        <v>76</v>
      </c>
      <c r="D31" s="27">
        <v>90.0</v>
      </c>
      <c r="E31" s="28">
        <v>8504.15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125</v>
      </c>
      <c r="C32" s="25" t="s">
        <v>76</v>
      </c>
      <c r="D32" s="27">
        <v>90.0</v>
      </c>
      <c r="E32" s="28">
        <v>8504.15</v>
      </c>
      <c r="F32" s="19"/>
      <c r="G32" s="4"/>
      <c r="H32" s="4"/>
      <c r="I32" s="4" t="s">
        <v>78</v>
      </c>
    </row>
    <row r="33" ht="14.25" customHeight="1">
      <c r="A33" s="37" t="s">
        <v>74</v>
      </c>
      <c r="B33" s="29" t="s">
        <v>126</v>
      </c>
      <c r="C33" s="37" t="s">
        <v>76</v>
      </c>
      <c r="D33" s="39">
        <v>35.0</v>
      </c>
      <c r="E33" s="40">
        <v>3307.17</v>
      </c>
      <c r="F33" s="19"/>
      <c r="G33" s="4"/>
      <c r="H33" s="4"/>
      <c r="I33" s="4" t="s">
        <v>78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139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141</v>
      </c>
    </row>
    <row r="4" ht="14.25" customHeight="1">
      <c r="A4" s="9" t="s">
        <v>19</v>
      </c>
      <c r="B4" s="8" t="s">
        <v>114</v>
      </c>
    </row>
    <row r="5" ht="14.25" customHeight="1">
      <c r="A5" s="7" t="s">
        <v>24</v>
      </c>
      <c r="B5" s="8" t="s">
        <v>115</v>
      </c>
    </row>
    <row r="6" ht="14.25" customHeight="1">
      <c r="A6" s="9" t="s">
        <v>116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216.0</v>
      </c>
      <c r="G10" s="15">
        <v>20409.95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162.0</v>
      </c>
      <c r="G11" s="15">
        <v>15307.46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324.0</v>
      </c>
      <c r="G12" s="15">
        <v>30614.92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234.0</v>
      </c>
      <c r="G13" s="15">
        <v>22110.78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540.0</v>
      </c>
      <c r="G14" s="15">
        <v>51024.87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396.0</v>
      </c>
      <c r="G15" s="15">
        <v>37418.24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540.0</v>
      </c>
      <c r="G16" s="15">
        <v>51024.87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396.0</v>
      </c>
      <c r="G17" s="15">
        <v>37418.24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108.0</v>
      </c>
      <c r="G18" s="15">
        <v>10204.97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108.0</v>
      </c>
      <c r="G19" s="15">
        <v>10204.97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90.0</v>
      </c>
      <c r="G20" s="15">
        <v>8504.15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324.0</v>
      </c>
      <c r="G21" s="15">
        <v>30614.92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45.0</v>
      </c>
      <c r="G22" s="15">
        <v>4252.07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45.0</v>
      </c>
      <c r="G23" s="15">
        <v>4252.07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72.0</v>
      </c>
      <c r="G24" s="15">
        <v>6803.32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18.0</v>
      </c>
      <c r="G25" s="15">
        <v>1700.83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9.0</v>
      </c>
      <c r="G26" s="15">
        <v>850.41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151</v>
      </c>
      <c r="C29" s="21" t="s">
        <v>76</v>
      </c>
      <c r="D29" s="23">
        <v>50.0</v>
      </c>
      <c r="E29" s="24">
        <v>4724.53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153</v>
      </c>
      <c r="C30" s="25" t="s">
        <v>76</v>
      </c>
      <c r="D30" s="27">
        <v>50.0</v>
      </c>
      <c r="E30" s="28">
        <v>4724.53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157</v>
      </c>
      <c r="C31" s="25" t="s">
        <v>76</v>
      </c>
      <c r="D31" s="27">
        <v>50.0</v>
      </c>
      <c r="E31" s="28">
        <v>4724.53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158</v>
      </c>
      <c r="C32" s="25" t="s">
        <v>76</v>
      </c>
      <c r="D32" s="27">
        <v>50.0</v>
      </c>
      <c r="E32" s="28">
        <v>4724.53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160</v>
      </c>
      <c r="C33" s="25" t="s">
        <v>76</v>
      </c>
      <c r="D33" s="27">
        <v>50.0</v>
      </c>
      <c r="E33" s="28">
        <v>4724.53</v>
      </c>
      <c r="F33" s="19"/>
      <c r="G33" s="4"/>
      <c r="H33" s="4"/>
      <c r="I33" s="4" t="s">
        <v>78</v>
      </c>
    </row>
    <row r="34" ht="14.25" customHeight="1">
      <c r="A34" s="37" t="s">
        <v>74</v>
      </c>
      <c r="B34" s="29" t="s">
        <v>161</v>
      </c>
      <c r="C34" s="37" t="s">
        <v>76</v>
      </c>
      <c r="D34" s="39">
        <v>50.0</v>
      </c>
      <c r="E34" s="40">
        <v>4724.53</v>
      </c>
      <c r="F34" s="19"/>
      <c r="G34" s="4"/>
      <c r="H34" s="4"/>
      <c r="I34" s="4" t="s">
        <v>78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138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140</v>
      </c>
    </row>
    <row r="4" ht="14.25" customHeight="1">
      <c r="A4" s="9" t="s">
        <v>19</v>
      </c>
      <c r="B4" s="8" t="s">
        <v>114</v>
      </c>
    </row>
    <row r="5" ht="14.25" customHeight="1">
      <c r="A5" s="7" t="s">
        <v>24</v>
      </c>
      <c r="B5" s="8" t="s">
        <v>115</v>
      </c>
    </row>
    <row r="6" ht="14.25" customHeight="1">
      <c r="A6" s="9" t="s">
        <v>116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216.0</v>
      </c>
      <c r="G10" s="15">
        <v>20409.95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162.0</v>
      </c>
      <c r="G11" s="15">
        <v>15307.46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324.0</v>
      </c>
      <c r="G12" s="15">
        <v>30614.92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234.0</v>
      </c>
      <c r="G13" s="15">
        <v>22110.78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540.0</v>
      </c>
      <c r="G14" s="15">
        <v>51024.87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396.0</v>
      </c>
      <c r="G15" s="15">
        <v>37418.24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540.0</v>
      </c>
      <c r="G16" s="15">
        <v>51024.87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396.0</v>
      </c>
      <c r="G17" s="15">
        <v>37418.24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108.0</v>
      </c>
      <c r="G18" s="15">
        <v>10204.97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108.0</v>
      </c>
      <c r="G19" s="15">
        <v>10204.97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90.0</v>
      </c>
      <c r="G20" s="15">
        <v>8504.15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324.0</v>
      </c>
      <c r="G21" s="15">
        <v>30614.92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45.0</v>
      </c>
      <c r="G22" s="15">
        <v>4252.07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45.0</v>
      </c>
      <c r="G23" s="15">
        <v>4252.07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72.0</v>
      </c>
      <c r="G24" s="15">
        <v>6803.32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18.0</v>
      </c>
      <c r="G25" s="15">
        <v>1700.83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9.0</v>
      </c>
      <c r="G26" s="15">
        <v>850.41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144</v>
      </c>
      <c r="C29" s="21" t="s">
        <v>76</v>
      </c>
      <c r="D29" s="23">
        <v>100.0</v>
      </c>
      <c r="E29" s="24">
        <v>9449.05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145</v>
      </c>
      <c r="C30" s="25" t="s">
        <v>76</v>
      </c>
      <c r="D30" s="27">
        <v>100.0</v>
      </c>
      <c r="E30" s="28">
        <v>9449.05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146</v>
      </c>
      <c r="C31" s="25" t="s">
        <v>76</v>
      </c>
      <c r="D31" s="27">
        <v>100.0</v>
      </c>
      <c r="E31" s="28">
        <v>9449.05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147</v>
      </c>
      <c r="C32" s="25" t="s">
        <v>76</v>
      </c>
      <c r="D32" s="27">
        <v>100.0</v>
      </c>
      <c r="E32" s="28">
        <v>9449.05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148</v>
      </c>
      <c r="C33" s="25" t="s">
        <v>76</v>
      </c>
      <c r="D33" s="27">
        <v>100.0</v>
      </c>
      <c r="E33" s="28">
        <v>9449.05</v>
      </c>
      <c r="F33" s="19"/>
      <c r="G33" s="4"/>
      <c r="H33" s="4"/>
      <c r="I33" s="4" t="s">
        <v>78</v>
      </c>
    </row>
    <row r="34" ht="14.25" customHeight="1">
      <c r="A34" s="37" t="s">
        <v>74</v>
      </c>
      <c r="B34" s="29" t="s">
        <v>149</v>
      </c>
      <c r="C34" s="37" t="s">
        <v>76</v>
      </c>
      <c r="D34" s="39">
        <v>100.0</v>
      </c>
      <c r="E34" s="40">
        <v>9449.05</v>
      </c>
      <c r="F34" s="19"/>
      <c r="G34" s="4"/>
      <c r="H34" s="4"/>
      <c r="I34" s="4" t="s">
        <v>78</v>
      </c>
    </row>
    <row r="35" ht="14.25" customHeight="1">
      <c r="B35" s="48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5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142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143</v>
      </c>
    </row>
    <row r="4" ht="14.25" customHeight="1">
      <c r="A4" s="9" t="s">
        <v>19</v>
      </c>
      <c r="B4" s="8" t="s">
        <v>114</v>
      </c>
    </row>
    <row r="5" ht="14.25" customHeight="1">
      <c r="A5" s="7" t="s">
        <v>24</v>
      </c>
      <c r="B5" s="8" t="s">
        <v>115</v>
      </c>
    </row>
    <row r="6" ht="14.25" customHeight="1">
      <c r="A6" s="9" t="s">
        <v>116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216.0</v>
      </c>
      <c r="G10" s="15">
        <v>20409.95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162.0</v>
      </c>
      <c r="G11" s="15">
        <v>15307.46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324.0</v>
      </c>
      <c r="G12" s="15">
        <v>30614.92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234.0</v>
      </c>
      <c r="G13" s="15">
        <v>22110.78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540.0</v>
      </c>
      <c r="G14" s="15">
        <v>51024.87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396.0</v>
      </c>
      <c r="G15" s="15">
        <v>37418.24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540.0</v>
      </c>
      <c r="G16" s="15">
        <v>51024.87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396.0</v>
      </c>
      <c r="G17" s="15">
        <v>37418.24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108.0</v>
      </c>
      <c r="G18" s="15">
        <v>10204.97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108.0</v>
      </c>
      <c r="G19" s="15">
        <v>10204.97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90.0</v>
      </c>
      <c r="G20" s="15">
        <v>8504.15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324.0</v>
      </c>
      <c r="G21" s="15">
        <v>30614.92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45.0</v>
      </c>
      <c r="G22" s="15">
        <v>4252.07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45.0</v>
      </c>
      <c r="G23" s="15">
        <v>4252.07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72.0</v>
      </c>
      <c r="G24" s="15">
        <v>6803.32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18.0</v>
      </c>
      <c r="G25" s="15">
        <v>1700.83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9.0</v>
      </c>
      <c r="G26" s="15">
        <v>850.41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150</v>
      </c>
      <c r="C29" s="21" t="s">
        <v>76</v>
      </c>
      <c r="D29" s="23">
        <v>80.0</v>
      </c>
      <c r="E29" s="24">
        <v>7559.24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152</v>
      </c>
      <c r="C30" s="25" t="s">
        <v>76</v>
      </c>
      <c r="D30" s="27">
        <v>80.0</v>
      </c>
      <c r="E30" s="28">
        <v>7559.24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154</v>
      </c>
      <c r="C31" s="25" t="s">
        <v>76</v>
      </c>
      <c r="D31" s="27">
        <v>80.0</v>
      </c>
      <c r="E31" s="28">
        <v>7559.24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155</v>
      </c>
      <c r="C32" s="25" t="s">
        <v>76</v>
      </c>
      <c r="D32" s="27">
        <v>80.0</v>
      </c>
      <c r="E32" s="28">
        <v>7559.24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156</v>
      </c>
      <c r="C33" s="25" t="s">
        <v>76</v>
      </c>
      <c r="D33" s="27">
        <v>80.0</v>
      </c>
      <c r="E33" s="28">
        <v>7559.24</v>
      </c>
      <c r="F33" s="19"/>
      <c r="G33" s="4"/>
      <c r="H33" s="4"/>
      <c r="I33" s="4" t="s">
        <v>78</v>
      </c>
    </row>
    <row r="34" ht="14.25" customHeight="1">
      <c r="A34" s="37" t="s">
        <v>74</v>
      </c>
      <c r="B34" s="29" t="s">
        <v>159</v>
      </c>
      <c r="C34" s="37" t="s">
        <v>76</v>
      </c>
      <c r="D34" s="39">
        <v>80.0</v>
      </c>
      <c r="E34" s="40">
        <v>7559.24</v>
      </c>
      <c r="F34" s="19"/>
      <c r="G34" s="4"/>
      <c r="H34" s="4"/>
      <c r="I34" s="4" t="s">
        <v>78</v>
      </c>
    </row>
    <row r="35" ht="14.25" customHeight="1">
      <c r="B35" s="48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5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162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163</v>
      </c>
    </row>
    <row r="4" ht="14.25" customHeight="1">
      <c r="A4" s="9" t="s">
        <v>19</v>
      </c>
      <c r="B4" s="8" t="s">
        <v>164</v>
      </c>
    </row>
    <row r="5" ht="14.25" customHeight="1">
      <c r="A5" s="7" t="s">
        <v>24</v>
      </c>
      <c r="B5" s="8" t="s">
        <v>165</v>
      </c>
    </row>
    <row r="6" ht="14.25" customHeight="1">
      <c r="A6" s="9" t="s">
        <v>166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140.0</v>
      </c>
      <c r="G10" s="15">
        <v>13228.67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105.0</v>
      </c>
      <c r="G11" s="15">
        <v>9921.5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210.0</v>
      </c>
      <c r="G12" s="15">
        <v>19843.01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155.0</v>
      </c>
      <c r="G13" s="15">
        <v>14646.03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350.0</v>
      </c>
      <c r="G14" s="15">
        <v>33071.68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250.0</v>
      </c>
      <c r="G15" s="15">
        <v>23622.63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350.0</v>
      </c>
      <c r="G16" s="15">
        <v>33071.68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250.0</v>
      </c>
      <c r="G17" s="15">
        <v>23622.63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65.0</v>
      </c>
      <c r="G18" s="15">
        <v>6141.88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65.0</v>
      </c>
      <c r="G19" s="15">
        <v>6141.88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55.0</v>
      </c>
      <c r="G20" s="15">
        <v>5196.98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240.0</v>
      </c>
      <c r="G21" s="15">
        <v>22677.72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38.0</v>
      </c>
      <c r="G22" s="15">
        <v>3590.64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28.0</v>
      </c>
      <c r="G23" s="15">
        <v>2645.73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48.0</v>
      </c>
      <c r="G24" s="15">
        <v>4535.54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14.0</v>
      </c>
      <c r="G25" s="15">
        <v>1322.87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8.0</v>
      </c>
      <c r="G26" s="15">
        <v>755.92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170</v>
      </c>
      <c r="C29" s="21" t="s">
        <v>76</v>
      </c>
      <c r="D29" s="23">
        <v>35.0</v>
      </c>
      <c r="E29" s="24">
        <v>3307.17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175</v>
      </c>
      <c r="C30" s="25" t="s">
        <v>76</v>
      </c>
      <c r="D30" s="27">
        <v>10.0</v>
      </c>
      <c r="E30" s="28">
        <v>944.91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177</v>
      </c>
      <c r="C31" s="25" t="s">
        <v>76</v>
      </c>
      <c r="D31" s="27">
        <v>25.0</v>
      </c>
      <c r="E31" s="28">
        <v>2362.26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178</v>
      </c>
      <c r="C32" s="25" t="s">
        <v>76</v>
      </c>
      <c r="D32" s="27">
        <v>40.0</v>
      </c>
      <c r="E32" s="28">
        <v>3779.62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167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168</v>
      </c>
    </row>
    <row r="4" ht="14.25" customHeight="1">
      <c r="A4" s="9" t="s">
        <v>19</v>
      </c>
      <c r="B4" s="8" t="s">
        <v>164</v>
      </c>
    </row>
    <row r="5" ht="14.25" customHeight="1">
      <c r="A5" s="7" t="s">
        <v>24</v>
      </c>
      <c r="B5" s="8" t="s">
        <v>165</v>
      </c>
    </row>
    <row r="6" ht="14.25" customHeight="1">
      <c r="A6" s="9" t="s">
        <v>166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140.0</v>
      </c>
      <c r="G10" s="15">
        <v>13228.67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105.0</v>
      </c>
      <c r="G11" s="15">
        <v>9921.5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210.0</v>
      </c>
      <c r="G12" s="15">
        <v>19843.01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155.0</v>
      </c>
      <c r="G13" s="15">
        <v>14646.03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350.0</v>
      </c>
      <c r="G14" s="15">
        <v>33071.68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250.0</v>
      </c>
      <c r="G15" s="15">
        <v>23622.63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350.0</v>
      </c>
      <c r="G16" s="15">
        <v>33071.68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250.0</v>
      </c>
      <c r="G17" s="15">
        <v>23622.63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65.0</v>
      </c>
      <c r="G18" s="15">
        <v>6141.88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65.0</v>
      </c>
      <c r="G19" s="15">
        <v>6141.88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55.0</v>
      </c>
      <c r="G20" s="15">
        <v>5196.98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240.0</v>
      </c>
      <c r="G21" s="15">
        <v>22677.72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38.0</v>
      </c>
      <c r="G22" s="15">
        <v>3590.64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28.0</v>
      </c>
      <c r="G23" s="15">
        <v>2645.73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48.0</v>
      </c>
      <c r="G24" s="15">
        <v>4535.54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14.0</v>
      </c>
      <c r="G25" s="15">
        <v>1322.87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8.0</v>
      </c>
      <c r="G26" s="15">
        <v>755.92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183</v>
      </c>
      <c r="C29" s="21" t="s">
        <v>76</v>
      </c>
      <c r="D29" s="23">
        <v>20.0</v>
      </c>
      <c r="E29" s="24">
        <v>1889.81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184</v>
      </c>
      <c r="C30" s="25" t="s">
        <v>76</v>
      </c>
      <c r="D30" s="27">
        <v>20.0</v>
      </c>
      <c r="E30" s="28">
        <v>1889.81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185</v>
      </c>
      <c r="C31" s="25" t="s">
        <v>76</v>
      </c>
      <c r="D31" s="27">
        <v>20.0</v>
      </c>
      <c r="E31" s="28">
        <v>1889.81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187</v>
      </c>
      <c r="C32" s="37" t="s">
        <v>76</v>
      </c>
      <c r="D32" s="39">
        <v>20.0</v>
      </c>
      <c r="E32" s="40">
        <v>1889.81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169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171</v>
      </c>
    </row>
    <row r="4" ht="14.25" customHeight="1">
      <c r="A4" s="9" t="s">
        <v>19</v>
      </c>
      <c r="B4" s="8" t="s">
        <v>172</v>
      </c>
    </row>
    <row r="5" ht="14.25" customHeight="1">
      <c r="A5" s="7" t="s">
        <v>24</v>
      </c>
      <c r="B5" s="8" t="s">
        <v>173</v>
      </c>
    </row>
    <row r="6" ht="14.25" customHeight="1">
      <c r="A6" s="9" t="s">
        <v>174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180.0</v>
      </c>
      <c r="G10" s="15">
        <v>17008.29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135.0</v>
      </c>
      <c r="G11" s="15">
        <v>12756.22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275.0</v>
      </c>
      <c r="G12" s="15">
        <v>25984.89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200.0</v>
      </c>
      <c r="G13" s="15">
        <v>18898.1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450.0</v>
      </c>
      <c r="G14" s="15">
        <v>42520.73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340.0</v>
      </c>
      <c r="G15" s="15">
        <v>32126.77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450.0</v>
      </c>
      <c r="G16" s="15">
        <v>42520.73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340.0</v>
      </c>
      <c r="G17" s="15">
        <v>32126.77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70.0</v>
      </c>
      <c r="G18" s="15">
        <v>6614.34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70.0</v>
      </c>
      <c r="G19" s="15">
        <v>6614.34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60.0</v>
      </c>
      <c r="G20" s="15">
        <v>5669.43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220.0</v>
      </c>
      <c r="G21" s="15">
        <v>20787.91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35.0</v>
      </c>
      <c r="G22" s="15">
        <v>3307.17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35.0</v>
      </c>
      <c r="G23" s="15">
        <v>3307.17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60.0</v>
      </c>
      <c r="G24" s="15">
        <v>5669.43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16.0</v>
      </c>
      <c r="G25" s="15">
        <v>1511.85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10.0</v>
      </c>
      <c r="G26" s="15">
        <v>944.91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49" t="s">
        <v>186</v>
      </c>
      <c r="C29" s="4" t="s">
        <v>76</v>
      </c>
      <c r="D29" s="14">
        <v>15.0</v>
      </c>
      <c r="E29" s="15">
        <v>1417.36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49" t="s">
        <v>188</v>
      </c>
      <c r="C30" s="4" t="s">
        <v>76</v>
      </c>
      <c r="D30" s="14">
        <v>20.0</v>
      </c>
      <c r="E30" s="15">
        <v>1889.81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49" t="s">
        <v>189</v>
      </c>
      <c r="C31" s="4" t="s">
        <v>76</v>
      </c>
      <c r="D31" s="14">
        <v>20.0</v>
      </c>
      <c r="E31" s="15">
        <v>1889.81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49" t="s">
        <v>190</v>
      </c>
      <c r="C32" s="4" t="s">
        <v>76</v>
      </c>
      <c r="D32" s="14">
        <v>20.0</v>
      </c>
      <c r="E32" s="15">
        <v>1889.81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49" t="s">
        <v>191</v>
      </c>
      <c r="C33" s="4" t="s">
        <v>76</v>
      </c>
      <c r="D33" s="14">
        <v>95.0</v>
      </c>
      <c r="E33" s="15">
        <v>8976.6</v>
      </c>
      <c r="F33" s="19"/>
      <c r="G33" s="4"/>
      <c r="H33" s="4"/>
      <c r="I33" s="4" t="s">
        <v>78</v>
      </c>
    </row>
    <row r="34" ht="14.25" customHeight="1">
      <c r="A34" s="21" t="s">
        <v>74</v>
      </c>
      <c r="B34" s="22" t="s">
        <v>192</v>
      </c>
      <c r="C34" s="21" t="s">
        <v>76</v>
      </c>
      <c r="D34" s="23">
        <v>20.0</v>
      </c>
      <c r="E34" s="24">
        <v>1889.81</v>
      </c>
      <c r="F34" s="38"/>
      <c r="G34" s="21"/>
      <c r="H34" s="21"/>
      <c r="I34" s="21" t="s">
        <v>78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4.25" customHeight="1">
      <c r="A35" s="21" t="s">
        <v>74</v>
      </c>
      <c r="B35" s="26" t="s">
        <v>193</v>
      </c>
      <c r="C35" s="21" t="s">
        <v>76</v>
      </c>
      <c r="D35" s="23">
        <v>20.0</v>
      </c>
      <c r="E35" s="24">
        <v>1889.81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1" t="s">
        <v>74</v>
      </c>
      <c r="B36" s="26" t="s">
        <v>194</v>
      </c>
      <c r="C36" s="21" t="s">
        <v>76</v>
      </c>
      <c r="D36" s="23">
        <v>20.0</v>
      </c>
      <c r="E36" s="24">
        <v>1889.81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1" t="s">
        <v>74</v>
      </c>
      <c r="B37" s="26" t="s">
        <v>195</v>
      </c>
      <c r="C37" s="21" t="s">
        <v>76</v>
      </c>
      <c r="D37" s="23">
        <v>20.0</v>
      </c>
      <c r="E37" s="24">
        <v>1889.81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1" t="s">
        <v>74</v>
      </c>
      <c r="B38" s="26" t="s">
        <v>196</v>
      </c>
      <c r="C38" s="21" t="s">
        <v>76</v>
      </c>
      <c r="D38" s="23">
        <v>95.0</v>
      </c>
      <c r="E38" s="24">
        <v>8976.6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1" t="s">
        <v>74</v>
      </c>
      <c r="B39" s="26" t="s">
        <v>197</v>
      </c>
      <c r="C39" s="21" t="s">
        <v>76</v>
      </c>
      <c r="D39" s="23">
        <v>20.0</v>
      </c>
      <c r="E39" s="24">
        <v>1889.81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1" t="s">
        <v>74</v>
      </c>
      <c r="B40" s="26" t="s">
        <v>198</v>
      </c>
      <c r="C40" s="21" t="s">
        <v>76</v>
      </c>
      <c r="D40" s="23">
        <v>20.0</v>
      </c>
      <c r="E40" s="24">
        <v>1889.81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1" t="s">
        <v>74</v>
      </c>
      <c r="B41" s="48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176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179</v>
      </c>
    </row>
    <row r="4" ht="14.25" customHeight="1">
      <c r="A4" s="9" t="s">
        <v>19</v>
      </c>
      <c r="B4" s="8" t="s">
        <v>180</v>
      </c>
    </row>
    <row r="5" ht="14.25" customHeight="1">
      <c r="A5" s="7" t="s">
        <v>24</v>
      </c>
      <c r="B5" s="8" t="s">
        <v>181</v>
      </c>
    </row>
    <row r="6" ht="14.25" customHeight="1">
      <c r="A6" s="9" t="s">
        <v>182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49" t="s">
        <v>199</v>
      </c>
      <c r="C29" s="4" t="s">
        <v>76</v>
      </c>
      <c r="D29" s="14">
        <v>12.0</v>
      </c>
      <c r="E29" s="15">
        <v>1133.89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49" t="s">
        <v>200</v>
      </c>
      <c r="C30" s="4" t="s">
        <v>76</v>
      </c>
      <c r="D30" s="14">
        <v>8.0</v>
      </c>
      <c r="E30" s="15">
        <v>755.92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49" t="s">
        <v>201</v>
      </c>
      <c r="C31" s="4" t="s">
        <v>76</v>
      </c>
      <c r="D31" s="14">
        <v>5.0</v>
      </c>
      <c r="E31" s="15">
        <v>472.45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49" t="s">
        <v>202</v>
      </c>
      <c r="C32" s="4" t="s">
        <v>76</v>
      </c>
      <c r="D32" s="14">
        <v>45.0</v>
      </c>
      <c r="E32" s="15">
        <v>4252.07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49" t="s">
        <v>203</v>
      </c>
      <c r="C33" s="4" t="s">
        <v>76</v>
      </c>
      <c r="D33" s="14">
        <v>25.0</v>
      </c>
      <c r="E33" s="15">
        <v>2362.26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49" t="s">
        <v>204</v>
      </c>
      <c r="C34" s="4" t="s">
        <v>76</v>
      </c>
      <c r="D34" s="14">
        <v>15.0</v>
      </c>
      <c r="E34" s="15">
        <v>1417.36</v>
      </c>
      <c r="F34" s="19"/>
      <c r="G34" s="4"/>
      <c r="H34" s="4"/>
      <c r="I34" s="4" t="s">
        <v>78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205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206</v>
      </c>
    </row>
    <row r="4" ht="14.25" customHeight="1">
      <c r="A4" s="9" t="s">
        <v>19</v>
      </c>
      <c r="B4" s="8" t="s">
        <v>180</v>
      </c>
    </row>
    <row r="5" ht="14.25" customHeight="1">
      <c r="A5" s="7" t="s">
        <v>24</v>
      </c>
      <c r="B5" s="8" t="s">
        <v>181</v>
      </c>
    </row>
    <row r="6" ht="14.25" customHeight="1">
      <c r="A6" s="9" t="s">
        <v>182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207</v>
      </c>
      <c r="C29" s="21" t="s">
        <v>76</v>
      </c>
      <c r="D29" s="23">
        <v>40.0</v>
      </c>
      <c r="E29" s="24">
        <v>3779.62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208</v>
      </c>
      <c r="C30" s="25" t="s">
        <v>76</v>
      </c>
      <c r="D30" s="27">
        <v>20.0</v>
      </c>
      <c r="E30" s="28">
        <v>1889.81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209</v>
      </c>
      <c r="C31" s="25" t="s">
        <v>76</v>
      </c>
      <c r="D31" s="27">
        <v>30.0</v>
      </c>
      <c r="E31" s="28">
        <v>2834.72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210</v>
      </c>
      <c r="C32" s="25" t="s">
        <v>76</v>
      </c>
      <c r="D32" s="27">
        <v>10.0</v>
      </c>
      <c r="E32" s="28">
        <v>944.91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211</v>
      </c>
      <c r="C33" s="25" t="s">
        <v>76</v>
      </c>
      <c r="D33" s="27">
        <v>35.0</v>
      </c>
      <c r="E33" s="28">
        <v>3307.17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212</v>
      </c>
      <c r="C34" s="25" t="s">
        <v>76</v>
      </c>
      <c r="D34" s="27">
        <v>25.0</v>
      </c>
      <c r="E34" s="28">
        <v>2362.26</v>
      </c>
      <c r="F34" s="19"/>
      <c r="G34" s="4"/>
      <c r="H34" s="4"/>
      <c r="I34" s="4" t="s">
        <v>78</v>
      </c>
    </row>
    <row r="35" ht="14.25" customHeight="1">
      <c r="A35" s="37" t="s">
        <v>74</v>
      </c>
      <c r="B35" s="29" t="s">
        <v>213</v>
      </c>
      <c r="C35" s="37" t="s">
        <v>76</v>
      </c>
      <c r="D35" s="39">
        <v>15.0</v>
      </c>
      <c r="E35" s="40">
        <v>1417.36</v>
      </c>
    </row>
    <row r="36" ht="14.25" customHeight="1">
      <c r="B36" s="48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6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215</v>
      </c>
    </row>
    <row r="4" ht="14.25" customHeight="1">
      <c r="A4" s="9" t="s">
        <v>19</v>
      </c>
      <c r="B4" s="8" t="s">
        <v>216</v>
      </c>
    </row>
    <row r="5" ht="14.25" customHeight="1">
      <c r="A5" s="7" t="s">
        <v>24</v>
      </c>
      <c r="B5" s="8" t="s">
        <v>217</v>
      </c>
    </row>
    <row r="6" ht="14.25" customHeight="1">
      <c r="A6" s="9" t="s">
        <v>218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1">
        <v>193.0</v>
      </c>
      <c r="G10" s="52">
        <v>21179.24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1">
        <v>142.0</v>
      </c>
      <c r="G11" s="52">
        <v>15582.65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1">
        <v>283.0</v>
      </c>
      <c r="G12" s="52">
        <v>31055.57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1">
        <v>206.0</v>
      </c>
      <c r="G13" s="52">
        <v>22605.82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1">
        <v>451.0</v>
      </c>
      <c r="G14" s="52">
        <v>49491.39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1">
        <v>322.0</v>
      </c>
      <c r="G15" s="52">
        <v>35335.31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1">
        <v>451.0</v>
      </c>
      <c r="G16" s="52">
        <v>49491.39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1">
        <v>322.0</v>
      </c>
      <c r="G17" s="52">
        <v>35335.31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1">
        <v>90.0</v>
      </c>
      <c r="G18" s="52">
        <v>9876.33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1">
        <v>90.0</v>
      </c>
      <c r="G19" s="52">
        <v>9876.33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1">
        <v>77.0</v>
      </c>
      <c r="G20" s="52">
        <v>8449.75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1">
        <v>322.0</v>
      </c>
      <c r="G21" s="52">
        <v>35335.31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1">
        <v>52.0</v>
      </c>
      <c r="G22" s="52">
        <v>5706.32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1">
        <v>39.0</v>
      </c>
      <c r="G23" s="52">
        <v>4279.74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1">
        <v>64.0</v>
      </c>
      <c r="G24" s="52">
        <v>7023.17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1">
        <v>19.0</v>
      </c>
      <c r="G25" s="52">
        <v>2085.0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1">
        <v>10.0</v>
      </c>
      <c r="G26" s="52"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53" t="s">
        <v>74</v>
      </c>
      <c r="B29" s="22" t="s">
        <v>220</v>
      </c>
      <c r="C29" s="53" t="s">
        <v>76</v>
      </c>
      <c r="D29" s="54">
        <v>88.0</v>
      </c>
      <c r="E29" s="54">
        <v>9656.86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55" t="s">
        <v>74</v>
      </c>
      <c r="B30" s="26" t="s">
        <v>222</v>
      </c>
      <c r="C30" s="55" t="s">
        <v>76</v>
      </c>
      <c r="D30" s="56">
        <v>175.0</v>
      </c>
      <c r="E30" s="56">
        <v>19203.97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55" t="s">
        <v>74</v>
      </c>
      <c r="B31" s="26" t="s">
        <v>228</v>
      </c>
      <c r="C31" s="55" t="s">
        <v>76</v>
      </c>
      <c r="D31" s="56">
        <v>95.0</v>
      </c>
      <c r="E31" s="56">
        <v>10425.02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55" t="s">
        <v>74</v>
      </c>
      <c r="B32" s="26" t="s">
        <v>229</v>
      </c>
      <c r="C32" s="55" t="s">
        <v>76</v>
      </c>
      <c r="D32" s="56">
        <v>85.0</v>
      </c>
      <c r="E32" s="56">
        <v>9327.65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59" t="s">
        <v>74</v>
      </c>
      <c r="B33" s="29" t="s">
        <v>234</v>
      </c>
      <c r="C33" s="59" t="s">
        <v>76</v>
      </c>
      <c r="D33" s="60">
        <v>140.0</v>
      </c>
      <c r="E33" s="60">
        <v>15363.18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219</v>
      </c>
    </row>
    <row r="4" ht="14.25" customHeight="1">
      <c r="A4" s="9" t="s">
        <v>19</v>
      </c>
      <c r="B4" s="8" t="s">
        <v>216</v>
      </c>
    </row>
    <row r="5" ht="14.25" customHeight="1">
      <c r="A5" s="7" t="s">
        <v>24</v>
      </c>
      <c r="B5" s="8" t="s">
        <v>217</v>
      </c>
    </row>
    <row r="6" ht="14.25" customHeight="1">
      <c r="A6" s="9" t="s">
        <v>218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1">
        <v>193.0</v>
      </c>
      <c r="G10" s="52">
        <v>21179.24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1">
        <v>142.0</v>
      </c>
      <c r="G11" s="52">
        <v>15582.65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1">
        <v>283.0</v>
      </c>
      <c r="G12" s="52">
        <v>31055.57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1">
        <v>206.0</v>
      </c>
      <c r="G13" s="52">
        <v>22605.82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1">
        <v>451.0</v>
      </c>
      <c r="G14" s="52">
        <v>49491.39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1">
        <v>322.0</v>
      </c>
      <c r="G15" s="52">
        <v>35335.31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1">
        <v>451.0</v>
      </c>
      <c r="G16" s="52">
        <v>49491.39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1">
        <v>322.0</v>
      </c>
      <c r="G17" s="52">
        <v>35335.31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1">
        <v>90.0</v>
      </c>
      <c r="G18" s="52">
        <v>9876.33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1">
        <v>90.0</v>
      </c>
      <c r="G19" s="52">
        <v>9876.33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1">
        <v>77.0</v>
      </c>
      <c r="G20" s="52">
        <v>8449.75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1">
        <v>322.0</v>
      </c>
      <c r="G21" s="52">
        <v>35335.31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1">
        <v>52.0</v>
      </c>
      <c r="G22" s="52">
        <v>5706.32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1">
        <v>39.0</v>
      </c>
      <c r="G23" s="52">
        <v>4279.74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1">
        <v>64.0</v>
      </c>
      <c r="G24" s="52">
        <v>7023.17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1">
        <v>19.0</v>
      </c>
      <c r="G25" s="52">
        <v>2085.0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1">
        <v>10.0</v>
      </c>
      <c r="G26" s="52"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32" t="s">
        <v>74</v>
      </c>
      <c r="B29" s="49" t="s">
        <v>235</v>
      </c>
      <c r="C29" s="32" t="s">
        <v>76</v>
      </c>
      <c r="D29" s="61">
        <v>0.0</v>
      </c>
      <c r="E29" s="61">
        <v>0.0</v>
      </c>
      <c r="F29" s="19"/>
      <c r="G29" s="4"/>
      <c r="H29" s="4"/>
      <c r="I29" s="4" t="s">
        <v>78</v>
      </c>
    </row>
    <row r="30" ht="14.25" customHeight="1">
      <c r="A30" s="32" t="s">
        <v>74</v>
      </c>
      <c r="B30" s="49" t="s">
        <v>236</v>
      </c>
      <c r="C30" s="32" t="s">
        <v>76</v>
      </c>
      <c r="D30" s="61">
        <v>74.0</v>
      </c>
      <c r="E30" s="61">
        <v>8120.54</v>
      </c>
      <c r="F30" s="19"/>
      <c r="G30" s="4"/>
      <c r="H30" s="4"/>
      <c r="I30" s="4" t="s">
        <v>78</v>
      </c>
    </row>
    <row r="31" ht="14.25" customHeight="1">
      <c r="A31" s="32" t="s">
        <v>74</v>
      </c>
      <c r="B31" s="49" t="s">
        <v>237</v>
      </c>
      <c r="C31" s="32" t="s">
        <v>76</v>
      </c>
      <c r="D31" s="61">
        <v>375.0</v>
      </c>
      <c r="E31" s="61">
        <v>41151.38</v>
      </c>
      <c r="F31" s="19"/>
      <c r="G31" s="4"/>
      <c r="H31" s="4"/>
      <c r="I31" s="4" t="s">
        <v>78</v>
      </c>
    </row>
    <row r="32" ht="14.25" customHeight="1">
      <c r="A32" s="32" t="s">
        <v>74</v>
      </c>
      <c r="B32" s="49" t="s">
        <v>238</v>
      </c>
      <c r="C32" s="32" t="s">
        <v>76</v>
      </c>
      <c r="D32" s="61">
        <v>65.0</v>
      </c>
      <c r="E32" s="61">
        <v>7132.91</v>
      </c>
      <c r="F32" s="19"/>
      <c r="G32" s="4"/>
      <c r="H32" s="4"/>
      <c r="I32" s="4" t="s">
        <v>78</v>
      </c>
    </row>
    <row r="33" ht="14.25" customHeight="1">
      <c r="A33" s="32" t="s">
        <v>74</v>
      </c>
      <c r="B33" s="49" t="s">
        <v>239</v>
      </c>
      <c r="C33" s="32" t="s">
        <v>76</v>
      </c>
      <c r="D33" s="61">
        <v>240.0</v>
      </c>
      <c r="E33" s="61">
        <v>26336.88</v>
      </c>
      <c r="F33" s="19"/>
      <c r="G33" s="4"/>
      <c r="H33" s="4"/>
      <c r="I33" s="4" t="s">
        <v>78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223</v>
      </c>
    </row>
    <row r="4" ht="14.25" customHeight="1">
      <c r="A4" s="9" t="s">
        <v>19</v>
      </c>
      <c r="B4" s="8" t="s">
        <v>224</v>
      </c>
    </row>
    <row r="5" ht="14.25" customHeight="1">
      <c r="A5" s="7" t="s">
        <v>24</v>
      </c>
      <c r="B5" s="8" t="s">
        <v>225</v>
      </c>
    </row>
    <row r="6" ht="14.25" customHeight="1">
      <c r="A6" s="9" t="s">
        <v>226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7">
        <v>55.0</v>
      </c>
      <c r="G10" s="58">
        <v>5196.95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7">
        <v>45.0</v>
      </c>
      <c r="G11" s="58">
        <v>4252.05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7">
        <v>110.0</v>
      </c>
      <c r="G12" s="58">
        <v>10393.9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7">
        <v>85.0</v>
      </c>
      <c r="G13" s="58">
        <v>8031.65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7">
        <v>220.0</v>
      </c>
      <c r="G14" s="58">
        <v>20787.8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7">
        <v>175.0</v>
      </c>
      <c r="G15" s="58">
        <v>16535.75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7">
        <v>360.0</v>
      </c>
      <c r="G16" s="58">
        <v>34016.4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7">
        <v>290.0</v>
      </c>
      <c r="G17" s="58">
        <v>27402.1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7">
        <v>45.0</v>
      </c>
      <c r="G18" s="58">
        <v>4252.05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7">
        <v>45.0</v>
      </c>
      <c r="G19" s="58">
        <v>4252.05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7">
        <v>55.0</v>
      </c>
      <c r="G20" s="58">
        <v>5196.95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7">
        <v>220.0</v>
      </c>
      <c r="G21" s="58">
        <v>20787.8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7">
        <v>35.0</v>
      </c>
      <c r="G22" s="58">
        <v>3307.15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7">
        <v>22.0</v>
      </c>
      <c r="G23" s="58">
        <v>2078.78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7">
        <v>38.0</v>
      </c>
      <c r="G24" s="58">
        <v>3590.62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7">
        <v>12.0</v>
      </c>
      <c r="G25" s="58">
        <v>1133.88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7">
        <v>6.0</v>
      </c>
      <c r="G26" s="58">
        <v>566.94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53" t="s">
        <v>74</v>
      </c>
      <c r="B29" s="22" t="s">
        <v>240</v>
      </c>
      <c r="C29" s="53" t="s">
        <v>76</v>
      </c>
      <c r="D29" s="62">
        <v>0.0</v>
      </c>
      <c r="E29" s="63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55" t="s">
        <v>74</v>
      </c>
      <c r="B30" s="26" t="s">
        <v>241</v>
      </c>
      <c r="C30" s="55" t="s">
        <v>76</v>
      </c>
      <c r="D30" s="64">
        <v>0.0</v>
      </c>
      <c r="E30" s="65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55" t="s">
        <v>74</v>
      </c>
      <c r="B31" s="26" t="s">
        <v>242</v>
      </c>
      <c r="C31" s="55" t="s">
        <v>76</v>
      </c>
      <c r="D31" s="64">
        <v>0.0</v>
      </c>
      <c r="E31" s="65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55" t="s">
        <v>74</v>
      </c>
      <c r="B32" s="26" t="s">
        <v>243</v>
      </c>
      <c r="C32" s="55" t="s">
        <v>76</v>
      </c>
      <c r="D32" s="64">
        <v>0.0</v>
      </c>
      <c r="E32" s="65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55" t="s">
        <v>74</v>
      </c>
      <c r="B33" s="26" t="s">
        <v>245</v>
      </c>
      <c r="C33" s="55" t="s">
        <v>76</v>
      </c>
      <c r="D33" s="64">
        <v>9.0</v>
      </c>
      <c r="E33" s="65">
        <v>850.41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55" t="s">
        <v>74</v>
      </c>
      <c r="B34" s="26" t="s">
        <v>246</v>
      </c>
      <c r="C34" s="55" t="s">
        <v>76</v>
      </c>
      <c r="D34" s="64">
        <v>8.3</v>
      </c>
      <c r="E34" s="65">
        <v>784.27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55" t="s">
        <v>74</v>
      </c>
      <c r="B35" s="26" t="s">
        <v>247</v>
      </c>
      <c r="C35" s="55" t="s">
        <v>76</v>
      </c>
      <c r="D35" s="64">
        <v>15.0</v>
      </c>
      <c r="E35" s="65">
        <v>1417.35</v>
      </c>
      <c r="F35" s="44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55" t="s">
        <v>74</v>
      </c>
      <c r="B36" s="26" t="s">
        <v>249</v>
      </c>
      <c r="C36" s="55" t="s">
        <v>76</v>
      </c>
      <c r="D36" s="64">
        <v>15.0</v>
      </c>
      <c r="E36" s="65">
        <v>1417.35</v>
      </c>
      <c r="F36" s="44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55" t="s">
        <v>74</v>
      </c>
      <c r="B37" s="26" t="s">
        <v>250</v>
      </c>
      <c r="C37" s="55" t="s">
        <v>76</v>
      </c>
      <c r="D37" s="64">
        <v>15.0</v>
      </c>
      <c r="E37" s="65">
        <v>1417.35</v>
      </c>
      <c r="F37" s="44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55" t="s">
        <v>74</v>
      </c>
      <c r="B38" s="26" t="s">
        <v>251</v>
      </c>
      <c r="C38" s="55" t="s">
        <v>76</v>
      </c>
      <c r="D38" s="64">
        <v>15.0</v>
      </c>
      <c r="E38" s="65">
        <v>1417.35</v>
      </c>
      <c r="F38" s="44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55" t="s">
        <v>74</v>
      </c>
      <c r="B39" s="26" t="s">
        <v>253</v>
      </c>
      <c r="C39" s="55" t="s">
        <v>76</v>
      </c>
      <c r="D39" s="64">
        <v>15.0</v>
      </c>
      <c r="E39" s="65">
        <v>1417.35</v>
      </c>
      <c r="F39" s="44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59" t="s">
        <v>74</v>
      </c>
      <c r="B40" s="29" t="s">
        <v>255</v>
      </c>
      <c r="C40" s="59" t="s">
        <v>76</v>
      </c>
      <c r="D40" s="66">
        <v>15.0</v>
      </c>
      <c r="E40" s="67">
        <v>1417.35</v>
      </c>
      <c r="F40" s="5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230</v>
      </c>
    </row>
    <row r="4" ht="14.25" customHeight="1">
      <c r="A4" s="9" t="s">
        <v>19</v>
      </c>
      <c r="B4" s="8" t="s">
        <v>231</v>
      </c>
    </row>
    <row r="5" ht="14.25" customHeight="1">
      <c r="A5" s="7" t="s">
        <v>24</v>
      </c>
      <c r="B5" s="8" t="s">
        <v>232</v>
      </c>
    </row>
    <row r="6" ht="14.25" customHeight="1">
      <c r="A6" s="9" t="s">
        <v>233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7">
        <v>62.0</v>
      </c>
      <c r="G10" s="58">
        <v>5858.38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7">
        <v>50.0</v>
      </c>
      <c r="G11" s="58">
        <v>4724.5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7">
        <v>125.0</v>
      </c>
      <c r="G12" s="58">
        <v>11811.25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7">
        <v>95.0</v>
      </c>
      <c r="G13" s="58">
        <v>8976.55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7">
        <v>240.0</v>
      </c>
      <c r="G14" s="58">
        <v>22677.6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7">
        <v>190.0</v>
      </c>
      <c r="G15" s="58">
        <v>17953.1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7">
        <v>390.0</v>
      </c>
      <c r="G16" s="58">
        <v>36851.1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7">
        <v>310.0</v>
      </c>
      <c r="G17" s="58">
        <v>29291.9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7">
        <v>50.0</v>
      </c>
      <c r="G18" s="58">
        <v>4724.5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7">
        <v>50.0</v>
      </c>
      <c r="G19" s="58">
        <v>4724.5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7">
        <v>65.0</v>
      </c>
      <c r="G20" s="58">
        <v>6141.85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7">
        <v>240.0</v>
      </c>
      <c r="G21" s="58">
        <v>22677.6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7">
        <v>40.0</v>
      </c>
      <c r="G22" s="58">
        <v>3779.6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7">
        <v>25.0</v>
      </c>
      <c r="G23" s="58">
        <v>2362.25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7">
        <v>42.0</v>
      </c>
      <c r="G24" s="58">
        <v>3968.58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7">
        <v>14.0</v>
      </c>
      <c r="G25" s="58">
        <v>1322.86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7">
        <v>7.0</v>
      </c>
      <c r="G26" s="58">
        <v>661.43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53" t="s">
        <v>74</v>
      </c>
      <c r="B29" s="22" t="s">
        <v>244</v>
      </c>
      <c r="C29" s="53" t="s">
        <v>76</v>
      </c>
      <c r="D29" s="62">
        <v>4.25</v>
      </c>
      <c r="E29" s="63">
        <v>401.58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55" t="s">
        <v>74</v>
      </c>
      <c r="B30" s="26" t="s">
        <v>248</v>
      </c>
      <c r="C30" s="55" t="s">
        <v>76</v>
      </c>
      <c r="D30" s="64">
        <v>2.8</v>
      </c>
      <c r="E30" s="65">
        <v>264.57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55" t="s">
        <v>74</v>
      </c>
      <c r="B31" s="26" t="s">
        <v>252</v>
      </c>
      <c r="C31" s="55" t="s">
        <v>76</v>
      </c>
      <c r="D31" s="64">
        <v>0.0</v>
      </c>
      <c r="E31" s="65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55" t="s">
        <v>74</v>
      </c>
      <c r="B32" s="26" t="s">
        <v>254</v>
      </c>
      <c r="C32" s="55" t="s">
        <v>76</v>
      </c>
      <c r="D32" s="64">
        <v>0.0</v>
      </c>
      <c r="E32" s="65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55" t="s">
        <v>74</v>
      </c>
      <c r="B33" s="26" t="s">
        <v>256</v>
      </c>
      <c r="C33" s="55" t="s">
        <v>76</v>
      </c>
      <c r="D33" s="64">
        <v>0.0</v>
      </c>
      <c r="E33" s="65">
        <v>0.0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55" t="s">
        <v>74</v>
      </c>
      <c r="B34" s="26" t="s">
        <v>257</v>
      </c>
      <c r="C34" s="55" t="s">
        <v>76</v>
      </c>
      <c r="D34" s="64">
        <v>7.0</v>
      </c>
      <c r="E34" s="65">
        <v>661.43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55" t="s">
        <v>74</v>
      </c>
      <c r="B35" s="26" t="s">
        <v>258</v>
      </c>
      <c r="C35" s="55" t="s">
        <v>76</v>
      </c>
      <c r="D35" s="64">
        <v>15.0</v>
      </c>
      <c r="E35" s="65">
        <v>1417.35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55" t="s">
        <v>74</v>
      </c>
      <c r="B36" s="26" t="s">
        <v>259</v>
      </c>
      <c r="C36" s="55" t="s">
        <v>76</v>
      </c>
      <c r="D36" s="64">
        <v>15.0</v>
      </c>
      <c r="E36" s="65">
        <v>1417.35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55" t="s">
        <v>74</v>
      </c>
      <c r="B37" s="26" t="s">
        <v>260</v>
      </c>
      <c r="C37" s="55" t="s">
        <v>76</v>
      </c>
      <c r="D37" s="64">
        <v>15.0</v>
      </c>
      <c r="E37" s="65">
        <v>1417.35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55" t="s">
        <v>74</v>
      </c>
      <c r="B38" s="26" t="s">
        <v>261</v>
      </c>
      <c r="C38" s="55" t="s">
        <v>76</v>
      </c>
      <c r="D38" s="64">
        <v>15.0</v>
      </c>
      <c r="E38" s="65">
        <v>1417.35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55" t="s">
        <v>74</v>
      </c>
      <c r="B39" s="26" t="s">
        <v>262</v>
      </c>
      <c r="C39" s="55" t="s">
        <v>76</v>
      </c>
      <c r="D39" s="64">
        <v>15.0</v>
      </c>
      <c r="E39" s="65">
        <v>1417.35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55" t="s">
        <v>74</v>
      </c>
      <c r="B40" s="26" t="s">
        <v>263</v>
      </c>
      <c r="C40" s="55" t="s">
        <v>76</v>
      </c>
      <c r="D40" s="64">
        <v>15.0</v>
      </c>
      <c r="E40" s="65">
        <v>1417.35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59" t="s">
        <v>74</v>
      </c>
      <c r="B41" s="29" t="s">
        <v>264</v>
      </c>
      <c r="C41" s="59" t="s">
        <v>76</v>
      </c>
      <c r="D41" s="66">
        <v>15.0</v>
      </c>
      <c r="E41" s="67">
        <v>1417.35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266</v>
      </c>
    </row>
    <row r="4" ht="14.25" customHeight="1">
      <c r="A4" s="9" t="s">
        <v>19</v>
      </c>
      <c r="B4" s="8" t="s">
        <v>231</v>
      </c>
    </row>
    <row r="5" ht="14.25" customHeight="1">
      <c r="A5" s="7" t="s">
        <v>24</v>
      </c>
      <c r="B5" s="8" t="s">
        <v>232</v>
      </c>
    </row>
    <row r="6" ht="14.25" customHeight="1">
      <c r="A6" s="9" t="s">
        <v>233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33">
        <v>62.0</v>
      </c>
      <c r="G10" s="68">
        <v>5858.38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33">
        <v>50.0</v>
      </c>
      <c r="G11" s="68">
        <v>4724.5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33">
        <v>125.0</v>
      </c>
      <c r="G12" s="68">
        <v>11811.25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33">
        <v>95.0</v>
      </c>
      <c r="G13" s="68">
        <v>8976.55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33">
        <v>240.0</v>
      </c>
      <c r="G14" s="68">
        <v>22677.6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33">
        <v>190.0</v>
      </c>
      <c r="G15" s="68">
        <v>17953.1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33">
        <v>390.0</v>
      </c>
      <c r="G16" s="68">
        <v>36851.1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33">
        <v>310.0</v>
      </c>
      <c r="G17" s="68">
        <v>29291.9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33">
        <v>50.0</v>
      </c>
      <c r="G18" s="68">
        <v>4724.5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33">
        <v>50.0</v>
      </c>
      <c r="G19" s="68">
        <v>4724.5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33">
        <v>65.0</v>
      </c>
      <c r="G20" s="68">
        <v>6141.85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33">
        <v>240.0</v>
      </c>
      <c r="G21" s="68">
        <v>22677.6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33">
        <v>40.0</v>
      </c>
      <c r="G22" s="68">
        <v>3779.6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33">
        <v>25.0</v>
      </c>
      <c r="G23" s="68">
        <v>2362.25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33">
        <v>42.0</v>
      </c>
      <c r="G24" s="68">
        <v>3968.58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33">
        <v>14.0</v>
      </c>
      <c r="G25" s="68">
        <v>1322.86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33">
        <v>7.0</v>
      </c>
      <c r="G26" s="68">
        <v>661.43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53" t="s">
        <v>74</v>
      </c>
      <c r="B29" s="22" t="s">
        <v>267</v>
      </c>
      <c r="C29" s="53" t="s">
        <v>76</v>
      </c>
      <c r="D29" s="35">
        <v>71.0</v>
      </c>
      <c r="E29" s="69">
        <v>6708.79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55" t="s">
        <v>74</v>
      </c>
      <c r="B30" s="26" t="s">
        <v>268</v>
      </c>
      <c r="C30" s="55" t="s">
        <v>76</v>
      </c>
      <c r="D30" s="42">
        <v>0.0</v>
      </c>
      <c r="E30" s="70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55" t="s">
        <v>74</v>
      </c>
      <c r="B31" s="26" t="s">
        <v>270</v>
      </c>
      <c r="C31" s="55" t="s">
        <v>76</v>
      </c>
      <c r="D31" s="42">
        <v>0.0</v>
      </c>
      <c r="E31" s="70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55" t="s">
        <v>74</v>
      </c>
      <c r="B32" s="26" t="s">
        <v>271</v>
      </c>
      <c r="C32" s="55" t="s">
        <v>76</v>
      </c>
      <c r="D32" s="42">
        <v>0.0</v>
      </c>
      <c r="E32" s="70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55" t="s">
        <v>74</v>
      </c>
      <c r="B33" s="26" t="s">
        <v>273</v>
      </c>
      <c r="C33" s="55" t="s">
        <v>76</v>
      </c>
      <c r="D33" s="42">
        <v>0.0</v>
      </c>
      <c r="E33" s="70">
        <v>0.0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55" t="s">
        <v>74</v>
      </c>
      <c r="B34" s="26" t="s">
        <v>277</v>
      </c>
      <c r="C34" s="55" t="s">
        <v>76</v>
      </c>
      <c r="D34" s="42">
        <v>0.0</v>
      </c>
      <c r="E34" s="70">
        <v>0.0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55" t="s">
        <v>74</v>
      </c>
      <c r="B35" s="26" t="s">
        <v>278</v>
      </c>
      <c r="C35" s="55" t="s">
        <v>76</v>
      </c>
      <c r="D35" s="42">
        <v>15.0</v>
      </c>
      <c r="E35" s="70">
        <v>1417.35</v>
      </c>
      <c r="F35" s="44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55" t="s">
        <v>74</v>
      </c>
      <c r="B36" s="26" t="s">
        <v>279</v>
      </c>
      <c r="C36" s="55" t="s">
        <v>76</v>
      </c>
      <c r="D36" s="42">
        <v>15.0</v>
      </c>
      <c r="E36" s="70">
        <v>1417.35</v>
      </c>
      <c r="F36" s="44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55" t="s">
        <v>74</v>
      </c>
      <c r="B37" s="26" t="s">
        <v>280</v>
      </c>
      <c r="C37" s="55" t="s">
        <v>76</v>
      </c>
      <c r="D37" s="42">
        <v>15.0</v>
      </c>
      <c r="E37" s="70">
        <v>1417.35</v>
      </c>
      <c r="F37" s="44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55" t="s">
        <v>74</v>
      </c>
      <c r="B38" s="26" t="s">
        <v>281</v>
      </c>
      <c r="C38" s="55" t="s">
        <v>76</v>
      </c>
      <c r="D38" s="42">
        <v>15.0</v>
      </c>
      <c r="E38" s="70">
        <v>1417.35</v>
      </c>
      <c r="F38" s="44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55" t="s">
        <v>74</v>
      </c>
      <c r="B39" s="26" t="s">
        <v>282</v>
      </c>
      <c r="C39" s="55" t="s">
        <v>76</v>
      </c>
      <c r="D39" s="42">
        <v>15.0</v>
      </c>
      <c r="E39" s="70">
        <v>1417.35</v>
      </c>
      <c r="F39" s="44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55" t="s">
        <v>74</v>
      </c>
      <c r="B40" s="26" t="s">
        <v>283</v>
      </c>
      <c r="C40" s="55" t="s">
        <v>76</v>
      </c>
      <c r="D40" s="42">
        <v>15.0</v>
      </c>
      <c r="E40" s="70">
        <v>1417.35</v>
      </c>
      <c r="F40" s="44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59" t="s">
        <v>74</v>
      </c>
      <c r="B41" s="29" t="s">
        <v>284</v>
      </c>
      <c r="C41" s="59" t="s">
        <v>76</v>
      </c>
      <c r="D41" s="46">
        <v>15.0</v>
      </c>
      <c r="E41" s="71">
        <v>1417.35</v>
      </c>
      <c r="F41" s="5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B42" s="48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272</v>
      </c>
    </row>
    <row r="4" ht="14.25" customHeight="1">
      <c r="A4" s="9" t="s">
        <v>19</v>
      </c>
      <c r="B4" s="8" t="s">
        <v>274</v>
      </c>
    </row>
    <row r="5" ht="14.25" customHeight="1">
      <c r="A5" s="7" t="s">
        <v>24</v>
      </c>
      <c r="B5" s="8" t="s">
        <v>275</v>
      </c>
    </row>
    <row r="6" ht="14.25" customHeight="1">
      <c r="A6" s="9" t="s">
        <v>276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285</v>
      </c>
      <c r="C29" s="21" t="s">
        <v>76</v>
      </c>
      <c r="D29" s="23">
        <v>5.0</v>
      </c>
      <c r="E29" s="24">
        <v>472.45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286</v>
      </c>
      <c r="C30" s="25" t="s">
        <v>76</v>
      </c>
      <c r="D30" s="27">
        <v>0.0</v>
      </c>
      <c r="E30" s="28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287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288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289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290</v>
      </c>
      <c r="C34" s="25" t="s">
        <v>76</v>
      </c>
      <c r="D34" s="27">
        <v>6.0</v>
      </c>
      <c r="E34" s="28">
        <v>566.94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291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292</v>
      </c>
      <c r="C36" s="25" t="s">
        <v>76</v>
      </c>
      <c r="D36" s="27">
        <v>12.0</v>
      </c>
      <c r="E36" s="28">
        <v>1133.89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293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294</v>
      </c>
      <c r="C38" s="25" t="s">
        <v>76</v>
      </c>
      <c r="D38" s="27">
        <v>6.0</v>
      </c>
      <c r="E38" s="28">
        <v>566.94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295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296</v>
      </c>
      <c r="C40" s="25" t="s">
        <v>76</v>
      </c>
      <c r="D40" s="27">
        <v>5.0</v>
      </c>
      <c r="E40" s="28">
        <v>472.45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297</v>
      </c>
      <c r="C41" s="25" t="s">
        <v>76</v>
      </c>
      <c r="D41" s="27">
        <v>10.0</v>
      </c>
      <c r="E41" s="28">
        <v>944.91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9" t="s">
        <v>298</v>
      </c>
      <c r="C42" s="25" t="s">
        <v>76</v>
      </c>
      <c r="D42" s="27">
        <v>5.0</v>
      </c>
      <c r="E42" s="28">
        <v>472.45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299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301</v>
      </c>
    </row>
    <row r="4" ht="14.25" customHeight="1">
      <c r="A4" s="9" t="s">
        <v>19</v>
      </c>
      <c r="B4" s="8" t="s">
        <v>274</v>
      </c>
    </row>
    <row r="5" ht="14.25" customHeight="1">
      <c r="A5" s="7" t="s">
        <v>24</v>
      </c>
      <c r="B5" s="8" t="s">
        <v>275</v>
      </c>
    </row>
    <row r="6" ht="14.25" customHeight="1">
      <c r="A6" s="9" t="s">
        <v>276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316</v>
      </c>
      <c r="C29" s="21" t="s">
        <v>76</v>
      </c>
      <c r="D29" s="23">
        <v>5.0</v>
      </c>
      <c r="E29" s="24">
        <v>472.45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317</v>
      </c>
      <c r="C30" s="25" t="s">
        <v>76</v>
      </c>
      <c r="D30" s="27">
        <v>6.0</v>
      </c>
      <c r="E30" s="28"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320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322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323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324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325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326</v>
      </c>
      <c r="C36" s="25" t="s">
        <v>76</v>
      </c>
      <c r="D36" s="27">
        <v>0.0</v>
      </c>
      <c r="E36" s="28">
        <v>0.0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327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328</v>
      </c>
      <c r="C38" s="25" t="s">
        <v>76</v>
      </c>
      <c r="D38" s="27">
        <v>5.0</v>
      </c>
      <c r="E38" s="28">
        <v>472.45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329</v>
      </c>
      <c r="C39" s="25" t="s">
        <v>76</v>
      </c>
      <c r="D39" s="27">
        <v>6.0</v>
      </c>
      <c r="E39" s="28">
        <v>566.94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330</v>
      </c>
      <c r="C40" s="25" t="s">
        <v>76</v>
      </c>
      <c r="D40" s="27">
        <v>5.0</v>
      </c>
      <c r="E40" s="28">
        <v>472.45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300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302</v>
      </c>
    </row>
    <row r="4" ht="14.25" customHeight="1">
      <c r="A4" s="9" t="s">
        <v>19</v>
      </c>
      <c r="B4" s="8" t="s">
        <v>274</v>
      </c>
    </row>
    <row r="5" ht="14.25" customHeight="1">
      <c r="A5" s="7" t="s">
        <v>24</v>
      </c>
      <c r="B5" s="8" t="s">
        <v>275</v>
      </c>
    </row>
    <row r="6" ht="14.25" customHeight="1">
      <c r="A6" s="9" t="s">
        <v>276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5.0" customHeight="1">
      <c r="A29" s="21" t="s">
        <v>74</v>
      </c>
      <c r="B29" s="22" t="s">
        <v>303</v>
      </c>
      <c r="C29" s="21" t="s">
        <v>76</v>
      </c>
      <c r="D29" s="23">
        <v>12.0</v>
      </c>
      <c r="E29" s="24">
        <v>1133.89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304</v>
      </c>
      <c r="C30" s="25" t="s">
        <v>76</v>
      </c>
      <c r="D30" s="27">
        <v>5.0</v>
      </c>
      <c r="E30" s="28">
        <v>472.45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305</v>
      </c>
      <c r="C31" s="25" t="s">
        <v>76</v>
      </c>
      <c r="D31" s="27">
        <v>12.0</v>
      </c>
      <c r="E31" s="28">
        <v>1133.89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306</v>
      </c>
      <c r="C32" s="25" t="s">
        <v>76</v>
      </c>
      <c r="D32" s="27">
        <v>12.0</v>
      </c>
      <c r="E32" s="28">
        <v>1133.89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307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308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309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310</v>
      </c>
      <c r="C36" s="25" t="s">
        <v>76</v>
      </c>
      <c r="D36" s="27">
        <v>5.0</v>
      </c>
      <c r="E36" s="28">
        <v>472.45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311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312</v>
      </c>
      <c r="C38" s="25" t="s">
        <v>76</v>
      </c>
      <c r="D38" s="27">
        <v>5.0</v>
      </c>
      <c r="E38" s="28">
        <v>472.45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313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314</v>
      </c>
      <c r="C40" s="25" t="s">
        <v>76</v>
      </c>
      <c r="D40" s="27">
        <v>5.0</v>
      </c>
      <c r="E40" s="28">
        <v>472.45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315</v>
      </c>
      <c r="C41" s="25" t="s">
        <v>76</v>
      </c>
      <c r="D41" s="27">
        <v>5.0</v>
      </c>
      <c r="E41" s="28">
        <v>472.45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318</v>
      </c>
      <c r="C42" s="25" t="s">
        <v>76</v>
      </c>
      <c r="D42" s="27">
        <v>5.0</v>
      </c>
      <c r="E42" s="28">
        <v>472.45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319</v>
      </c>
      <c r="C43" s="25" t="s">
        <v>76</v>
      </c>
      <c r="D43" s="27">
        <v>5.0</v>
      </c>
      <c r="E43" s="28">
        <v>472.45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9" t="s">
        <v>321</v>
      </c>
      <c r="C44" s="25" t="s">
        <v>76</v>
      </c>
      <c r="D44" s="27">
        <v>5.0</v>
      </c>
      <c r="E44" s="28">
        <v>472.45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331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332</v>
      </c>
    </row>
    <row r="4" ht="14.25" customHeight="1">
      <c r="A4" s="9" t="s">
        <v>19</v>
      </c>
      <c r="B4" s="8" t="s">
        <v>274</v>
      </c>
    </row>
    <row r="5" ht="14.25" customHeight="1">
      <c r="A5" s="7" t="s">
        <v>24</v>
      </c>
      <c r="B5" s="8" t="s">
        <v>275</v>
      </c>
    </row>
    <row r="6" ht="14.25" customHeight="1">
      <c r="A6" s="9" t="s">
        <v>276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335</v>
      </c>
      <c r="C29" s="21" t="s">
        <v>76</v>
      </c>
      <c r="D29" s="23">
        <v>5.0</v>
      </c>
      <c r="E29" s="24">
        <v>472.45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336</v>
      </c>
      <c r="C30" s="25" t="s">
        <v>76</v>
      </c>
      <c r="D30" s="27">
        <v>5.0</v>
      </c>
      <c r="E30" s="28">
        <v>472.45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337</v>
      </c>
      <c r="C31" s="25" t="s">
        <v>76</v>
      </c>
      <c r="D31" s="27">
        <v>0.0</v>
      </c>
      <c r="E31" s="28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338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339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340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341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342</v>
      </c>
      <c r="C36" s="25" t="s">
        <v>76</v>
      </c>
      <c r="D36" s="27">
        <v>5.0</v>
      </c>
      <c r="E36" s="28">
        <v>472.45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343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344</v>
      </c>
      <c r="C38" s="25" t="s">
        <v>76</v>
      </c>
      <c r="D38" s="27">
        <v>5.0</v>
      </c>
      <c r="E38" s="28">
        <v>472.45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345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346</v>
      </c>
      <c r="C40" s="25" t="s">
        <v>76</v>
      </c>
      <c r="D40" s="27">
        <v>5.0</v>
      </c>
      <c r="E40" s="28">
        <v>472.45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347</v>
      </c>
      <c r="C41" s="25" t="s">
        <v>76</v>
      </c>
      <c r="D41" s="27">
        <v>5.0</v>
      </c>
      <c r="E41" s="28">
        <v>472.45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348</v>
      </c>
      <c r="C42" s="25" t="s">
        <v>76</v>
      </c>
      <c r="D42" s="27">
        <v>5.0</v>
      </c>
      <c r="E42" s="28">
        <v>472.45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349</v>
      </c>
      <c r="C43" s="25" t="s">
        <v>76</v>
      </c>
      <c r="D43" s="27">
        <v>5.0</v>
      </c>
      <c r="E43" s="28">
        <v>472.45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9" t="s">
        <v>350</v>
      </c>
      <c r="C44" s="25" t="s">
        <v>76</v>
      </c>
      <c r="D44" s="27">
        <v>6.0</v>
      </c>
      <c r="E44" s="28">
        <v>566.94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B45" s="48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5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333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334</v>
      </c>
    </row>
    <row r="4" ht="14.25" customHeight="1">
      <c r="A4" s="9" t="s">
        <v>19</v>
      </c>
      <c r="B4" s="8" t="s">
        <v>274</v>
      </c>
    </row>
    <row r="5" ht="14.25" customHeight="1">
      <c r="A5" s="7" t="s">
        <v>24</v>
      </c>
      <c r="B5" s="8" t="s">
        <v>275</v>
      </c>
    </row>
    <row r="6" ht="14.25" customHeight="1">
      <c r="A6" s="9" t="s">
        <v>276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351</v>
      </c>
      <c r="C29" s="21" t="s">
        <v>76</v>
      </c>
      <c r="D29" s="23">
        <v>6.0</v>
      </c>
      <c r="E29" s="24">
        <v>566.94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352</v>
      </c>
      <c r="C30" s="25" t="s">
        <v>76</v>
      </c>
      <c r="D30" s="27">
        <v>6.0</v>
      </c>
      <c r="E30" s="28"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353</v>
      </c>
      <c r="C31" s="25" t="s">
        <v>76</v>
      </c>
      <c r="D31" s="27">
        <v>6.0</v>
      </c>
      <c r="E31" s="28">
        <v>566.94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354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355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356</v>
      </c>
      <c r="C34" s="25" t="s">
        <v>76</v>
      </c>
      <c r="D34" s="27">
        <v>6.0</v>
      </c>
      <c r="E34" s="28">
        <v>566.94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357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358</v>
      </c>
      <c r="C36" s="25" t="s">
        <v>76</v>
      </c>
      <c r="D36" s="27">
        <v>5.0</v>
      </c>
      <c r="E36" s="28">
        <v>472.45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359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360</v>
      </c>
      <c r="C38" s="25" t="s">
        <v>76</v>
      </c>
      <c r="D38" s="27">
        <v>5.0</v>
      </c>
      <c r="E38" s="28">
        <v>472.45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361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362</v>
      </c>
      <c r="C40" s="25" t="s">
        <v>76</v>
      </c>
      <c r="D40" s="27">
        <v>5.0</v>
      </c>
      <c r="E40" s="28">
        <v>472.45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363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364</v>
      </c>
    </row>
    <row r="4" ht="14.25" customHeight="1">
      <c r="A4" s="9" t="s">
        <v>19</v>
      </c>
      <c r="B4" s="8" t="s">
        <v>365</v>
      </c>
    </row>
    <row r="5" ht="14.25" customHeight="1">
      <c r="A5" s="7" t="s">
        <v>24</v>
      </c>
      <c r="B5" s="8" t="s">
        <v>366</v>
      </c>
    </row>
    <row r="6" ht="14.25" customHeight="1">
      <c r="A6" s="9" t="s">
        <v>367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370</v>
      </c>
      <c r="C29" s="21" t="s">
        <v>76</v>
      </c>
      <c r="D29" s="23">
        <v>5.0</v>
      </c>
      <c r="E29" s="24">
        <v>472.45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371</v>
      </c>
      <c r="C30" s="25" t="s">
        <v>76</v>
      </c>
      <c r="D30" s="27">
        <v>5.0</v>
      </c>
      <c r="E30" s="28">
        <v>472.45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372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373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375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376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378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379</v>
      </c>
      <c r="C36" s="25" t="s">
        <v>76</v>
      </c>
      <c r="D36" s="27">
        <v>6.0</v>
      </c>
      <c r="E36" s="28">
        <v>566.94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382</v>
      </c>
      <c r="C37" s="25" t="s">
        <v>76</v>
      </c>
      <c r="D37" s="27">
        <v>6.0</v>
      </c>
      <c r="E37" s="28">
        <v>566.94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384</v>
      </c>
      <c r="C38" s="25" t="s">
        <v>76</v>
      </c>
      <c r="D38" s="27">
        <v>5.0</v>
      </c>
      <c r="E38" s="28">
        <v>472.45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386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388</v>
      </c>
      <c r="C40" s="25" t="s">
        <v>76</v>
      </c>
      <c r="D40" s="27">
        <v>6.0</v>
      </c>
      <c r="E40" s="28">
        <v>566.94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390</v>
      </c>
      <c r="C41" s="25" t="s">
        <v>76</v>
      </c>
      <c r="D41" s="27">
        <v>5.0</v>
      </c>
      <c r="E41" s="28">
        <v>472.45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393</v>
      </c>
      <c r="C42" s="25" t="s">
        <v>76</v>
      </c>
      <c r="D42" s="27">
        <v>5.0</v>
      </c>
      <c r="E42" s="28">
        <v>472.45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395</v>
      </c>
      <c r="C43" s="25" t="s">
        <v>76</v>
      </c>
      <c r="D43" s="27">
        <v>5.0</v>
      </c>
      <c r="E43" s="28">
        <v>472.45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6" t="s">
        <v>397</v>
      </c>
      <c r="C44" s="25" t="s">
        <v>76</v>
      </c>
      <c r="D44" s="27">
        <v>5.0</v>
      </c>
      <c r="E44" s="28">
        <v>472.45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25" t="s">
        <v>74</v>
      </c>
      <c r="B45" s="26" t="s">
        <v>399</v>
      </c>
      <c r="C45" s="25" t="s">
        <v>76</v>
      </c>
      <c r="D45" s="27">
        <v>5.0</v>
      </c>
      <c r="E45" s="28">
        <v>472.45</v>
      </c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25" t="s">
        <v>74</v>
      </c>
      <c r="B46" s="26" t="s">
        <v>402</v>
      </c>
      <c r="C46" s="25" t="s">
        <v>76</v>
      </c>
      <c r="D46" s="27">
        <v>5.0</v>
      </c>
      <c r="E46" s="28">
        <v>472.45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25" t="s">
        <v>74</v>
      </c>
      <c r="B47" s="26" t="s">
        <v>404</v>
      </c>
      <c r="C47" s="25" t="s">
        <v>76</v>
      </c>
      <c r="D47" s="27">
        <v>5.0</v>
      </c>
      <c r="E47" s="28">
        <v>472.45</v>
      </c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37" t="s">
        <v>74</v>
      </c>
      <c r="B48" s="29" t="s">
        <v>407</v>
      </c>
      <c r="C48" s="37" t="s">
        <v>76</v>
      </c>
      <c r="D48" s="39">
        <v>5.0</v>
      </c>
      <c r="E48" s="40">
        <v>472.45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368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369</v>
      </c>
    </row>
    <row r="4" ht="14.25" customHeight="1">
      <c r="A4" s="9" t="s">
        <v>19</v>
      </c>
      <c r="B4" s="8" t="s">
        <v>365</v>
      </c>
    </row>
    <row r="5" ht="14.25" customHeight="1">
      <c r="A5" s="7" t="s">
        <v>24</v>
      </c>
      <c r="B5" s="8" t="s">
        <v>366</v>
      </c>
    </row>
    <row r="6" ht="14.25" customHeight="1">
      <c r="A6" s="9" t="s">
        <v>367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374</v>
      </c>
      <c r="C29" s="21" t="s">
        <v>76</v>
      </c>
      <c r="D29" s="23">
        <v>5.0</v>
      </c>
      <c r="E29" s="24">
        <v>472.45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377</v>
      </c>
      <c r="C30" s="25" t="s">
        <v>76</v>
      </c>
      <c r="D30" s="27">
        <v>6.0</v>
      </c>
      <c r="E30" s="28"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380</v>
      </c>
      <c r="C31" s="25" t="s">
        <v>76</v>
      </c>
      <c r="D31" s="27">
        <v>6.0</v>
      </c>
      <c r="E31" s="28">
        <v>566.94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381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383</v>
      </c>
      <c r="C33" s="25" t="s">
        <v>76</v>
      </c>
      <c r="D33" s="27">
        <v>6.0</v>
      </c>
      <c r="E33" s="28">
        <v>566.94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385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387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389</v>
      </c>
      <c r="C36" s="25" t="s">
        <v>76</v>
      </c>
      <c r="D36" s="27">
        <v>0.0</v>
      </c>
      <c r="E36" s="28">
        <v>0.0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391</v>
      </c>
      <c r="C37" s="25" t="s">
        <v>76</v>
      </c>
      <c r="D37" s="27">
        <v>0.0</v>
      </c>
      <c r="E37" s="28">
        <v>0.0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392</v>
      </c>
      <c r="C38" s="25" t="s">
        <v>76</v>
      </c>
      <c r="D38" s="27">
        <v>6.0</v>
      </c>
      <c r="E38" s="28">
        <v>566.94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394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396</v>
      </c>
      <c r="C40" s="25" t="s">
        <v>76</v>
      </c>
      <c r="D40" s="27">
        <v>5.0</v>
      </c>
      <c r="E40" s="28">
        <v>472.45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398</v>
      </c>
      <c r="C41" s="25" t="s">
        <v>76</v>
      </c>
      <c r="D41" s="27">
        <v>5.0</v>
      </c>
      <c r="E41" s="28">
        <v>472.45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400</v>
      </c>
      <c r="C42" s="25" t="s">
        <v>76</v>
      </c>
      <c r="D42" s="27">
        <v>5.0</v>
      </c>
      <c r="E42" s="28">
        <v>472.45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401</v>
      </c>
      <c r="C43" s="25" t="s">
        <v>76</v>
      </c>
      <c r="D43" s="27">
        <v>5.0</v>
      </c>
      <c r="E43" s="28">
        <v>472.45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6" t="s">
        <v>403</v>
      </c>
      <c r="C44" s="25" t="s">
        <v>76</v>
      </c>
      <c r="D44" s="27">
        <v>5.0</v>
      </c>
      <c r="E44" s="28">
        <v>472.45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25" t="s">
        <v>74</v>
      </c>
      <c r="B45" s="26" t="s">
        <v>405</v>
      </c>
      <c r="C45" s="25" t="s">
        <v>76</v>
      </c>
      <c r="D45" s="27">
        <v>0.0</v>
      </c>
      <c r="E45" s="28">
        <v>0.0</v>
      </c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25" t="s">
        <v>74</v>
      </c>
      <c r="B46" s="26" t="s">
        <v>406</v>
      </c>
      <c r="C46" s="25" t="s">
        <v>76</v>
      </c>
      <c r="D46" s="27">
        <v>5.0</v>
      </c>
      <c r="E46" s="28">
        <v>472.45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25" t="s">
        <v>74</v>
      </c>
      <c r="B47" s="26" t="s">
        <v>408</v>
      </c>
      <c r="C47" s="25" t="s">
        <v>76</v>
      </c>
      <c r="D47" s="27">
        <v>5.0</v>
      </c>
      <c r="E47" s="28">
        <v>472.45</v>
      </c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25" t="s">
        <v>74</v>
      </c>
      <c r="B48" s="29" t="s">
        <v>409</v>
      </c>
      <c r="C48" s="25" t="s">
        <v>76</v>
      </c>
      <c r="D48" s="27">
        <v>5.0</v>
      </c>
      <c r="E48" s="28">
        <v>472.45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410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411</v>
      </c>
    </row>
    <row r="4" ht="14.25" customHeight="1">
      <c r="A4" s="9" t="s">
        <v>19</v>
      </c>
      <c r="B4" s="8" t="s">
        <v>365</v>
      </c>
    </row>
    <row r="5" ht="14.25" customHeight="1">
      <c r="A5" s="7" t="s">
        <v>24</v>
      </c>
      <c r="B5" s="8" t="s">
        <v>366</v>
      </c>
    </row>
    <row r="6" ht="14.25" customHeight="1">
      <c r="A6" s="9" t="s">
        <v>367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418</v>
      </c>
      <c r="C29" s="21" t="s">
        <v>76</v>
      </c>
      <c r="D29" s="23">
        <v>5.0</v>
      </c>
      <c r="E29" s="24">
        <v>472.45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420</v>
      </c>
      <c r="C30" s="25" t="s">
        <v>76</v>
      </c>
      <c r="D30" s="27">
        <v>12.0</v>
      </c>
      <c r="E30" s="28">
        <v>1133.89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423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425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427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430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432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434</v>
      </c>
      <c r="C36" s="25" t="s">
        <v>76</v>
      </c>
      <c r="D36" s="27">
        <v>5.0</v>
      </c>
      <c r="E36" s="28">
        <v>472.45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436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438</v>
      </c>
      <c r="C38" s="25" t="s">
        <v>76</v>
      </c>
      <c r="D38" s="27">
        <v>5.0</v>
      </c>
      <c r="E38" s="28">
        <v>472.45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439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440</v>
      </c>
      <c r="C40" s="25" t="s">
        <v>76</v>
      </c>
      <c r="D40" s="27">
        <v>5.0</v>
      </c>
      <c r="E40" s="28">
        <v>472.45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412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413</v>
      </c>
    </row>
    <row r="4" ht="14.25" customHeight="1">
      <c r="A4" s="9" t="s">
        <v>19</v>
      </c>
      <c r="B4" s="8" t="s">
        <v>414</v>
      </c>
    </row>
    <row r="5" ht="14.25" customHeight="1">
      <c r="A5" s="7" t="s">
        <v>24</v>
      </c>
      <c r="B5" s="8" t="s">
        <v>415</v>
      </c>
    </row>
    <row r="6" ht="14.25" customHeight="1">
      <c r="A6" s="9" t="s">
        <v>416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417</v>
      </c>
      <c r="C29" s="21" t="s">
        <v>76</v>
      </c>
      <c r="D29" s="23">
        <v>6.0</v>
      </c>
      <c r="E29" s="24">
        <v>566.94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419</v>
      </c>
      <c r="C30" s="25" t="s">
        <v>76</v>
      </c>
      <c r="D30" s="27">
        <v>5.0</v>
      </c>
      <c r="E30" s="28">
        <v>472.45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421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422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424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426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428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429</v>
      </c>
      <c r="C36" s="25" t="s">
        <v>76</v>
      </c>
      <c r="D36" s="27">
        <v>5.0</v>
      </c>
      <c r="E36" s="28">
        <v>472.45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431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433</v>
      </c>
      <c r="C38" s="25" t="s">
        <v>76</v>
      </c>
      <c r="D38" s="27">
        <v>0.0</v>
      </c>
      <c r="E38" s="28">
        <v>0.0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435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437</v>
      </c>
      <c r="C40" s="25" t="s">
        <v>76</v>
      </c>
      <c r="D40" s="27">
        <v>5.0</v>
      </c>
      <c r="E40" s="28">
        <v>472.45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441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442</v>
      </c>
    </row>
    <row r="4" ht="14.25" customHeight="1">
      <c r="A4" s="9" t="s">
        <v>19</v>
      </c>
      <c r="B4" s="8" t="s">
        <v>414</v>
      </c>
    </row>
    <row r="5" ht="14.25" customHeight="1">
      <c r="A5" s="7" t="s">
        <v>24</v>
      </c>
      <c r="B5" s="8" t="s">
        <v>415</v>
      </c>
    </row>
    <row r="6" ht="14.25" customHeight="1">
      <c r="A6" s="9" t="s">
        <v>416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443</v>
      </c>
      <c r="C29" s="21" t="s">
        <v>76</v>
      </c>
      <c r="D29" s="23">
        <v>5.0</v>
      </c>
      <c r="E29" s="24">
        <v>472.45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444</v>
      </c>
      <c r="C30" s="25" t="s">
        <v>76</v>
      </c>
      <c r="D30" s="27">
        <v>0.0</v>
      </c>
      <c r="E30" s="28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445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446</v>
      </c>
      <c r="C32" s="25" t="s">
        <v>76</v>
      </c>
      <c r="D32" s="27">
        <v>0.0</v>
      </c>
      <c r="E32" s="28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447</v>
      </c>
      <c r="C33" s="25" t="s">
        <v>76</v>
      </c>
      <c r="D33" s="27">
        <v>0.0</v>
      </c>
      <c r="E33" s="28">
        <v>0.0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448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449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450</v>
      </c>
      <c r="C36" s="25" t="s">
        <v>76</v>
      </c>
      <c r="D36" s="27">
        <v>6.0</v>
      </c>
      <c r="E36" s="28">
        <v>566.94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451</v>
      </c>
      <c r="C37" s="25" t="s">
        <v>76</v>
      </c>
      <c r="D37" s="27">
        <v>6.0</v>
      </c>
      <c r="E37" s="28">
        <v>566.94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452</v>
      </c>
      <c r="C38" s="25" t="s">
        <v>76</v>
      </c>
      <c r="D38" s="27">
        <v>5.0</v>
      </c>
      <c r="E38" s="28">
        <v>472.45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454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455</v>
      </c>
      <c r="C40" s="25" t="s">
        <v>76</v>
      </c>
      <c r="D40" s="27">
        <v>5.0</v>
      </c>
      <c r="E40" s="28">
        <v>472.45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456</v>
      </c>
      <c r="C41" s="25" t="s">
        <v>76</v>
      </c>
      <c r="D41" s="27">
        <v>5.0</v>
      </c>
      <c r="E41" s="28">
        <v>472.45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9" t="s">
        <v>459</v>
      </c>
      <c r="C42" s="25" t="s">
        <v>76</v>
      </c>
      <c r="D42" s="27">
        <v>5.0</v>
      </c>
      <c r="E42" s="28">
        <v>472.45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453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457</v>
      </c>
    </row>
    <row r="4" ht="14.25" customHeight="1">
      <c r="A4" s="9" t="s">
        <v>19</v>
      </c>
      <c r="B4" s="8" t="s">
        <v>458</v>
      </c>
    </row>
    <row r="5" ht="14.25" customHeight="1">
      <c r="A5" s="7" t="s">
        <v>24</v>
      </c>
      <c r="B5" s="8" t="s">
        <v>460</v>
      </c>
    </row>
    <row r="6" ht="14.25" customHeight="1">
      <c r="A6" s="9" t="s">
        <v>461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462</v>
      </c>
      <c r="C29" s="21" t="s">
        <v>76</v>
      </c>
      <c r="D29" s="23">
        <v>5.0</v>
      </c>
      <c r="E29" s="24">
        <v>472.45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463</v>
      </c>
      <c r="C30" s="25" t="s">
        <v>76</v>
      </c>
      <c r="D30" s="27">
        <v>5.0</v>
      </c>
      <c r="E30" s="28">
        <v>472.45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464</v>
      </c>
      <c r="C31" s="25" t="s">
        <v>76</v>
      </c>
      <c r="D31" s="27">
        <v>0.0</v>
      </c>
      <c r="E31" s="28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465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466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467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468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469</v>
      </c>
      <c r="C36" s="25" t="s">
        <v>76</v>
      </c>
      <c r="D36" s="27">
        <v>5.0</v>
      </c>
      <c r="E36" s="28">
        <v>472.45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470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471</v>
      </c>
      <c r="C38" s="25" t="s">
        <v>76</v>
      </c>
      <c r="D38" s="27">
        <v>5.0</v>
      </c>
      <c r="E38" s="28">
        <v>472.45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472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473</v>
      </c>
      <c r="C40" s="25" t="s">
        <v>76</v>
      </c>
      <c r="D40" s="27">
        <v>5.0</v>
      </c>
      <c r="E40" s="28">
        <v>472.45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474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475</v>
      </c>
    </row>
    <row r="4" ht="14.25" customHeight="1">
      <c r="A4" s="9" t="s">
        <v>19</v>
      </c>
      <c r="B4" s="8" t="s">
        <v>458</v>
      </c>
    </row>
    <row r="5" ht="14.25" customHeight="1">
      <c r="A5" s="7" t="s">
        <v>24</v>
      </c>
      <c r="B5" s="8" t="s">
        <v>460</v>
      </c>
    </row>
    <row r="6" ht="14.25" customHeight="1">
      <c r="A6" s="9" t="s">
        <v>461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479</v>
      </c>
      <c r="C29" s="21" t="s">
        <v>76</v>
      </c>
      <c r="D29" s="23">
        <v>5.0</v>
      </c>
      <c r="E29" s="24">
        <v>472.45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482</v>
      </c>
      <c r="C30" s="25" t="s">
        <v>76</v>
      </c>
      <c r="D30" s="27">
        <v>12.0</v>
      </c>
      <c r="E30" s="28">
        <v>1133.89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483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484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485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486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487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488</v>
      </c>
      <c r="C36" s="25" t="s">
        <v>76</v>
      </c>
      <c r="D36" s="27">
        <v>5.0</v>
      </c>
      <c r="E36" s="28">
        <v>472.45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489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9" t="s">
        <v>491</v>
      </c>
      <c r="C38" s="25" t="s">
        <v>76</v>
      </c>
      <c r="D38" s="27">
        <v>12.0</v>
      </c>
      <c r="E38" s="28">
        <v>1133.89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476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477</v>
      </c>
    </row>
    <row r="4" ht="14.25" customHeight="1">
      <c r="A4" s="9" t="s">
        <v>19</v>
      </c>
      <c r="B4" s="8" t="s">
        <v>478</v>
      </c>
    </row>
    <row r="5" ht="14.25" customHeight="1">
      <c r="A5" s="7" t="s">
        <v>24</v>
      </c>
      <c r="B5" s="8" t="s">
        <v>480</v>
      </c>
    </row>
    <row r="6" ht="14.25" customHeight="1">
      <c r="A6" s="9" t="s">
        <v>481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490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493</v>
      </c>
      <c r="C30" s="25" t="s">
        <v>76</v>
      </c>
      <c r="D30" s="27">
        <v>0.0</v>
      </c>
      <c r="E30" s="28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494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495</v>
      </c>
      <c r="C32" s="25" t="s">
        <v>76</v>
      </c>
      <c r="D32" s="27">
        <v>0.0</v>
      </c>
      <c r="E32" s="28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496</v>
      </c>
      <c r="C33" s="25" t="s">
        <v>76</v>
      </c>
      <c r="D33" s="27">
        <v>4.0</v>
      </c>
      <c r="E33" s="28">
        <v>377.96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497</v>
      </c>
      <c r="C34" s="25" t="s">
        <v>76</v>
      </c>
      <c r="D34" s="27">
        <v>0.0</v>
      </c>
      <c r="E34" s="28">
        <v>0.0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498</v>
      </c>
      <c r="C35" s="25" t="s">
        <v>76</v>
      </c>
      <c r="D35" s="27">
        <v>0.0</v>
      </c>
      <c r="E35" s="28">
        <v>0.0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499</v>
      </c>
      <c r="C36" s="25" t="s">
        <v>76</v>
      </c>
      <c r="D36" s="27">
        <v>0.0</v>
      </c>
      <c r="E36" s="28">
        <v>0.0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500</v>
      </c>
      <c r="C37" s="25" t="s">
        <v>76</v>
      </c>
      <c r="D37" s="27">
        <v>10.0</v>
      </c>
      <c r="E37" s="28">
        <v>944.91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501</v>
      </c>
      <c r="C38" s="25" t="s">
        <v>76</v>
      </c>
      <c r="D38" s="27">
        <v>3.0</v>
      </c>
      <c r="E38" s="28">
        <v>283.47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502</v>
      </c>
      <c r="C39" s="25" t="s">
        <v>76</v>
      </c>
      <c r="D39" s="27">
        <v>10.0</v>
      </c>
      <c r="E39" s="28">
        <v>944.91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504</v>
      </c>
      <c r="C40" s="25" t="s">
        <v>76</v>
      </c>
      <c r="D40" s="27">
        <v>10.0</v>
      </c>
      <c r="E40" s="28">
        <v>944.91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506</v>
      </c>
      <c r="C41" s="25" t="s">
        <v>76</v>
      </c>
      <c r="D41" s="27">
        <v>20.0</v>
      </c>
      <c r="E41" s="28">
        <v>1889.81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509</v>
      </c>
      <c r="C42" s="25" t="s">
        <v>76</v>
      </c>
      <c r="D42" s="27">
        <v>5.0</v>
      </c>
      <c r="E42" s="28">
        <v>472.45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510</v>
      </c>
      <c r="C43" s="25" t="s">
        <v>76</v>
      </c>
      <c r="D43" s="27">
        <v>0.0</v>
      </c>
      <c r="E43" s="28">
        <v>0.0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9" t="s">
        <v>511</v>
      </c>
      <c r="C44" s="25" t="s">
        <v>76</v>
      </c>
      <c r="D44" s="27">
        <v>0.0</v>
      </c>
      <c r="E44" s="28">
        <v>0.0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72" t="s">
        <v>492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5" t="s">
        <v>503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5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6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512</v>
      </c>
      <c r="C29" s="21" t="s">
        <v>76</v>
      </c>
      <c r="D29" s="23">
        <v>6.0</v>
      </c>
      <c r="E29" s="24">
        <v>566.94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513</v>
      </c>
      <c r="C30" s="25" t="s">
        <v>76</v>
      </c>
      <c r="D30" s="27">
        <v>1.0</v>
      </c>
      <c r="E30" s="28">
        <v>94.49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514</v>
      </c>
      <c r="C31" s="25" t="s">
        <v>76</v>
      </c>
      <c r="D31" s="27">
        <v>1.5</v>
      </c>
      <c r="E31" s="28">
        <v>141.74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515</v>
      </c>
      <c r="C32" s="25" t="s">
        <v>76</v>
      </c>
      <c r="D32" s="27">
        <v>0.0</v>
      </c>
      <c r="E32" s="28">
        <v>0.0</v>
      </c>
      <c r="F32" s="90"/>
      <c r="G32" s="91"/>
      <c r="H32" s="91"/>
      <c r="I32" s="25" t="s">
        <v>78</v>
      </c>
    </row>
    <row r="33" ht="14.25" customHeight="1">
      <c r="A33" s="25" t="s">
        <v>74</v>
      </c>
      <c r="B33" s="89" t="s">
        <v>516</v>
      </c>
      <c r="C33" s="25" t="s">
        <v>76</v>
      </c>
      <c r="D33" s="27">
        <v>0.0</v>
      </c>
      <c r="E33" s="28">
        <v>0.0</v>
      </c>
      <c r="F33" s="90"/>
      <c r="G33" s="91"/>
      <c r="H33" s="91"/>
      <c r="I33" s="25" t="s">
        <v>78</v>
      </c>
    </row>
    <row r="34" ht="14.25" customHeight="1">
      <c r="A34" s="25" t="s">
        <v>74</v>
      </c>
      <c r="B34" s="89" t="s">
        <v>517</v>
      </c>
      <c r="C34" s="25" t="s">
        <v>76</v>
      </c>
      <c r="D34" s="27">
        <v>0.0</v>
      </c>
      <c r="E34" s="28">
        <v>0.0</v>
      </c>
      <c r="F34" s="90"/>
      <c r="G34" s="91"/>
      <c r="H34" s="91"/>
      <c r="I34" s="25" t="s">
        <v>78</v>
      </c>
    </row>
    <row r="35" ht="14.25" customHeight="1">
      <c r="A35" s="92" t="s">
        <v>74</v>
      </c>
      <c r="B35" s="93" t="s">
        <v>518</v>
      </c>
      <c r="C35" s="92" t="s">
        <v>76</v>
      </c>
      <c r="D35" s="27">
        <v>0.0</v>
      </c>
      <c r="E35" s="28">
        <v>0.0</v>
      </c>
      <c r="F35" s="94"/>
      <c r="G35" s="94"/>
      <c r="H35" s="94"/>
      <c r="I35" s="94"/>
    </row>
    <row r="36" ht="14.25" customHeight="1">
      <c r="A36" s="92" t="s">
        <v>74</v>
      </c>
      <c r="B36" s="93" t="s">
        <v>519</v>
      </c>
      <c r="C36" s="92" t="s">
        <v>76</v>
      </c>
      <c r="D36" s="27">
        <v>0.0</v>
      </c>
      <c r="E36" s="28">
        <v>0.0</v>
      </c>
      <c r="F36" s="94"/>
      <c r="G36" s="94"/>
      <c r="H36" s="94"/>
      <c r="I36" s="94"/>
    </row>
    <row r="37" ht="14.25" customHeight="1">
      <c r="A37" s="92" t="s">
        <v>74</v>
      </c>
      <c r="B37" s="93" t="s">
        <v>520</v>
      </c>
      <c r="C37" s="92" t="s">
        <v>76</v>
      </c>
      <c r="D37" s="27">
        <v>0.0</v>
      </c>
      <c r="E37" s="28">
        <v>0.0</v>
      </c>
      <c r="F37" s="94"/>
      <c r="G37" s="94"/>
      <c r="H37" s="94"/>
      <c r="I37" s="94"/>
    </row>
    <row r="38" ht="14.25" customHeight="1">
      <c r="A38" s="92" t="s">
        <v>74</v>
      </c>
      <c r="B38" s="93" t="s">
        <v>522</v>
      </c>
      <c r="C38" s="92" t="s">
        <v>76</v>
      </c>
      <c r="D38" s="27">
        <v>0.0</v>
      </c>
      <c r="E38" s="28">
        <v>0.0</v>
      </c>
      <c r="F38" s="94"/>
      <c r="G38" s="94"/>
      <c r="H38" s="94"/>
      <c r="I38" s="94"/>
    </row>
    <row r="39" ht="14.25" customHeight="1">
      <c r="A39" s="92" t="s">
        <v>74</v>
      </c>
      <c r="B39" s="93" t="s">
        <v>523</v>
      </c>
      <c r="C39" s="92" t="s">
        <v>76</v>
      </c>
      <c r="D39" s="27">
        <v>1.0</v>
      </c>
      <c r="E39" s="28">
        <v>94.49</v>
      </c>
      <c r="F39" s="94"/>
      <c r="G39" s="94"/>
      <c r="H39" s="94"/>
      <c r="I39" s="94"/>
    </row>
    <row r="40" ht="14.25" customHeight="1">
      <c r="A40" s="92" t="s">
        <v>74</v>
      </c>
      <c r="B40" s="93" t="s">
        <v>524</v>
      </c>
      <c r="C40" s="92" t="s">
        <v>76</v>
      </c>
      <c r="D40" s="27">
        <v>0.0</v>
      </c>
      <c r="E40" s="28">
        <v>0.0</v>
      </c>
      <c r="F40" s="94"/>
      <c r="G40" s="94"/>
      <c r="H40" s="94"/>
      <c r="I40" s="94"/>
    </row>
    <row r="41" ht="14.25" customHeight="1">
      <c r="A41" s="92" t="s">
        <v>74</v>
      </c>
      <c r="B41" s="93" t="s">
        <v>525</v>
      </c>
      <c r="C41" s="92" t="s">
        <v>76</v>
      </c>
      <c r="D41" s="27">
        <v>6.0</v>
      </c>
      <c r="E41" s="28">
        <v>566.94</v>
      </c>
      <c r="F41" s="94"/>
      <c r="G41" s="94"/>
      <c r="H41" s="94"/>
      <c r="I41" s="94"/>
    </row>
    <row r="42" ht="14.25" customHeight="1">
      <c r="A42" s="92" t="s">
        <v>74</v>
      </c>
      <c r="B42" s="93" t="s">
        <v>527</v>
      </c>
      <c r="C42" s="92" t="s">
        <v>76</v>
      </c>
      <c r="D42" s="27">
        <v>3.0</v>
      </c>
      <c r="E42" s="28">
        <v>283.47</v>
      </c>
      <c r="F42" s="94"/>
      <c r="G42" s="94"/>
      <c r="H42" s="94"/>
      <c r="I42" s="94"/>
    </row>
    <row r="43" ht="14.25" customHeight="1">
      <c r="A43" s="92" t="s">
        <v>74</v>
      </c>
      <c r="B43" s="93" t="s">
        <v>528</v>
      </c>
      <c r="C43" s="92" t="s">
        <v>76</v>
      </c>
      <c r="D43" s="27">
        <v>0.5</v>
      </c>
      <c r="E43" s="28">
        <v>47.25</v>
      </c>
      <c r="F43" s="94"/>
      <c r="G43" s="94"/>
      <c r="H43" s="94"/>
      <c r="I43" s="94"/>
    </row>
    <row r="44" ht="14.25" customHeight="1">
      <c r="A44" s="92" t="s">
        <v>74</v>
      </c>
      <c r="B44" s="93" t="s">
        <v>529</v>
      </c>
      <c r="C44" s="92" t="s">
        <v>76</v>
      </c>
      <c r="D44" s="27">
        <v>1.0</v>
      </c>
      <c r="E44" s="28">
        <v>94.49</v>
      </c>
      <c r="F44" s="94"/>
      <c r="G44" s="94"/>
      <c r="H44" s="94"/>
      <c r="I44" s="94"/>
    </row>
    <row r="45" ht="14.25" customHeight="1">
      <c r="A45" s="92" t="s">
        <v>74</v>
      </c>
      <c r="B45" s="93" t="s">
        <v>530</v>
      </c>
      <c r="C45" s="92" t="s">
        <v>76</v>
      </c>
      <c r="D45" s="27">
        <v>1.5</v>
      </c>
      <c r="E45" s="28">
        <v>141.74</v>
      </c>
      <c r="F45" s="94"/>
      <c r="G45" s="94"/>
      <c r="H45" s="94"/>
      <c r="I45" s="94"/>
    </row>
    <row r="46" ht="14.25" customHeight="1">
      <c r="A46" s="92" t="s">
        <v>74</v>
      </c>
      <c r="B46" s="93" t="s">
        <v>531</v>
      </c>
      <c r="C46" s="92" t="s">
        <v>76</v>
      </c>
      <c r="D46" s="27">
        <v>3.5</v>
      </c>
      <c r="E46" s="28">
        <v>330.72</v>
      </c>
      <c r="F46" s="94"/>
      <c r="G46" s="94"/>
      <c r="H46" s="94"/>
      <c r="I46" s="94"/>
    </row>
    <row r="47" ht="14.25" customHeight="1">
      <c r="A47" s="92" t="s">
        <v>74</v>
      </c>
      <c r="B47" s="93" t="s">
        <v>532</v>
      </c>
      <c r="C47" s="92" t="s">
        <v>76</v>
      </c>
      <c r="D47" s="27">
        <v>5.0</v>
      </c>
      <c r="E47" s="28">
        <v>472.45</v>
      </c>
      <c r="F47" s="94"/>
      <c r="G47" s="94"/>
      <c r="H47" s="94"/>
      <c r="I47" s="94"/>
    </row>
    <row r="48" ht="14.25" customHeight="1">
      <c r="A48" s="92" t="s">
        <v>74</v>
      </c>
      <c r="B48" s="93" t="s">
        <v>533</v>
      </c>
      <c r="C48" s="92" t="s">
        <v>76</v>
      </c>
      <c r="D48" s="27">
        <v>1.0</v>
      </c>
      <c r="E48" s="28">
        <v>94.49</v>
      </c>
      <c r="F48" s="94"/>
      <c r="G48" s="94"/>
      <c r="H48" s="94"/>
      <c r="I48" s="94"/>
    </row>
    <row r="49" ht="14.25" customHeight="1">
      <c r="A49" s="92" t="s">
        <v>74</v>
      </c>
      <c r="B49" s="93" t="s">
        <v>534</v>
      </c>
      <c r="C49" s="92" t="s">
        <v>76</v>
      </c>
      <c r="D49" s="27">
        <v>0.0</v>
      </c>
      <c r="E49" s="28">
        <v>0.0</v>
      </c>
      <c r="F49" s="94"/>
      <c r="G49" s="94"/>
      <c r="H49" s="94"/>
      <c r="I49" s="94"/>
    </row>
    <row r="50" ht="14.25" customHeight="1">
      <c r="A50" s="92" t="s">
        <v>74</v>
      </c>
      <c r="B50" s="93" t="s">
        <v>535</v>
      </c>
      <c r="C50" s="92" t="s">
        <v>76</v>
      </c>
      <c r="D50" s="27">
        <v>0.0</v>
      </c>
      <c r="E50" s="28">
        <v>0.0</v>
      </c>
      <c r="F50" s="94"/>
      <c r="G50" s="94"/>
      <c r="H50" s="94"/>
      <c r="I50" s="94"/>
    </row>
    <row r="51" ht="14.25" customHeight="1">
      <c r="A51" s="92" t="s">
        <v>74</v>
      </c>
      <c r="B51" s="93" t="s">
        <v>536</v>
      </c>
      <c r="C51" s="92" t="s">
        <v>76</v>
      </c>
      <c r="D51" s="27">
        <v>2.0</v>
      </c>
      <c r="E51" s="28">
        <v>188.98</v>
      </c>
      <c r="F51" s="94"/>
      <c r="G51" s="94"/>
      <c r="H51" s="94"/>
      <c r="I51" s="94"/>
    </row>
    <row r="52" ht="14.25" customHeight="1">
      <c r="A52" s="95" t="s">
        <v>74</v>
      </c>
      <c r="B52" s="96" t="s">
        <v>537</v>
      </c>
      <c r="C52" s="92" t="s">
        <v>76</v>
      </c>
      <c r="D52" s="27">
        <v>1.5</v>
      </c>
      <c r="E52" s="28">
        <v>141.74</v>
      </c>
      <c r="F52" s="97"/>
      <c r="G52" s="97"/>
      <c r="H52" s="97"/>
      <c r="I52" s="97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521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526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538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539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540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542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543</v>
      </c>
      <c r="C33" s="25" t="s">
        <v>76</v>
      </c>
      <c r="D33" s="27">
        <v>0.0</v>
      </c>
      <c r="E33" s="28">
        <v>0.0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545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546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547</v>
      </c>
      <c r="C36" s="25" t="s">
        <v>76</v>
      </c>
      <c r="D36" s="27">
        <v>0.0</v>
      </c>
      <c r="E36" s="28">
        <v>0.0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548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549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9" t="s">
        <v>550</v>
      </c>
      <c r="C39" s="25" t="s">
        <v>76</v>
      </c>
      <c r="D39" s="27">
        <v>2.0</v>
      </c>
      <c r="E39" s="28">
        <v>188.98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541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544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22" t="s">
        <v>551</v>
      </c>
      <c r="C29" s="4" t="s">
        <v>76</v>
      </c>
      <c r="D29" s="14">
        <v>2.0</v>
      </c>
      <c r="E29" s="15">
        <v>188.98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26" t="s">
        <v>552</v>
      </c>
      <c r="C30" s="4" t="s">
        <v>76</v>
      </c>
      <c r="D30" s="14">
        <v>5.0</v>
      </c>
      <c r="E30" s="15">
        <v>472.45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26" t="s">
        <v>553</v>
      </c>
      <c r="C31" s="4" t="s">
        <v>76</v>
      </c>
      <c r="D31" s="14">
        <v>2.0</v>
      </c>
      <c r="E31" s="15">
        <v>188.98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26" t="s">
        <v>554</v>
      </c>
      <c r="C32" s="4" t="s">
        <v>76</v>
      </c>
      <c r="D32" s="14">
        <v>2.0</v>
      </c>
      <c r="E32" s="15">
        <v>188.98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26" t="s">
        <v>555</v>
      </c>
      <c r="C33" s="21" t="s">
        <v>76</v>
      </c>
      <c r="D33" s="23">
        <v>2.0</v>
      </c>
      <c r="E33" s="24">
        <v>188.98</v>
      </c>
      <c r="F33" s="19"/>
      <c r="G33" s="4"/>
      <c r="H33" s="4"/>
      <c r="I33" s="4" t="s">
        <v>78</v>
      </c>
    </row>
    <row r="34" ht="14.25" customHeight="1">
      <c r="A34" s="21" t="s">
        <v>74</v>
      </c>
      <c r="B34" s="26" t="s">
        <v>556</v>
      </c>
      <c r="C34" s="25" t="s">
        <v>76</v>
      </c>
      <c r="D34" s="27">
        <v>2.0</v>
      </c>
      <c r="E34" s="28">
        <v>188.98</v>
      </c>
      <c r="F34" s="19"/>
      <c r="G34" s="4"/>
      <c r="H34" s="4"/>
      <c r="I34" s="4" t="s">
        <v>78</v>
      </c>
    </row>
    <row r="35" ht="14.25" customHeight="1">
      <c r="A35" s="98" t="s">
        <v>74</v>
      </c>
      <c r="B35" s="26" t="s">
        <v>557</v>
      </c>
      <c r="C35" s="45"/>
      <c r="D35" s="99">
        <v>5.0</v>
      </c>
      <c r="E35" s="100">
        <v>472.45</v>
      </c>
    </row>
    <row r="36" ht="14.25" customHeight="1">
      <c r="A36" s="98" t="s">
        <v>74</v>
      </c>
      <c r="B36" s="26" t="s">
        <v>559</v>
      </c>
      <c r="C36" s="45"/>
      <c r="D36" s="99">
        <v>2.0</v>
      </c>
      <c r="E36" s="100">
        <v>188.98</v>
      </c>
    </row>
    <row r="37" ht="14.25" customHeight="1">
      <c r="A37" s="98" t="s">
        <v>74</v>
      </c>
      <c r="B37" s="26" t="s">
        <v>560</v>
      </c>
      <c r="C37" s="45"/>
      <c r="D37" s="99">
        <v>6.0</v>
      </c>
      <c r="E37" s="100">
        <v>566.94</v>
      </c>
    </row>
    <row r="38" ht="14.25" customHeight="1">
      <c r="A38" s="101" t="s">
        <v>74</v>
      </c>
      <c r="B38" s="29" t="s">
        <v>561</v>
      </c>
      <c r="C38" s="30"/>
      <c r="D38" s="102">
        <v>0.0</v>
      </c>
      <c r="E38" s="103">
        <v>0.0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558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562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563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564</v>
      </c>
      <c r="C30" s="25" t="s">
        <v>76</v>
      </c>
      <c r="D30" s="27">
        <v>6.0</v>
      </c>
      <c r="E30" s="28"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565</v>
      </c>
      <c r="C31" s="25" t="s">
        <v>76</v>
      </c>
      <c r="D31" s="27">
        <v>0.0</v>
      </c>
      <c r="E31" s="28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566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567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568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569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570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571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572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573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574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575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576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49" t="s">
        <v>577</v>
      </c>
      <c r="C29" s="4" t="s">
        <v>76</v>
      </c>
      <c r="D29" s="14">
        <v>2.0</v>
      </c>
      <c r="E29" s="15">
        <v>188.98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49" t="s">
        <v>578</v>
      </c>
      <c r="C30" s="4" t="s">
        <v>76</v>
      </c>
      <c r="D30" s="14">
        <v>2.0</v>
      </c>
      <c r="E30" s="15">
        <v>188.98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49" t="s">
        <v>579</v>
      </c>
      <c r="C31" s="4" t="s">
        <v>76</v>
      </c>
      <c r="D31" s="14">
        <v>2.0</v>
      </c>
      <c r="E31" s="15">
        <v>188.98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49" t="s">
        <v>580</v>
      </c>
      <c r="C32" s="4" t="s">
        <v>76</v>
      </c>
      <c r="D32" s="14">
        <v>0.0</v>
      </c>
      <c r="E32" s="15">
        <v>0.0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49" t="s">
        <v>581</v>
      </c>
      <c r="C33" s="4" t="s">
        <v>76</v>
      </c>
      <c r="D33" s="14">
        <v>2.0</v>
      </c>
      <c r="E33" s="15">
        <v>188.98</v>
      </c>
      <c r="F33" s="19"/>
      <c r="G33" s="4"/>
      <c r="H33" s="4"/>
      <c r="I33" s="4" t="s">
        <v>78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582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583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586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587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588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589</v>
      </c>
      <c r="C32" s="37" t="s">
        <v>76</v>
      </c>
      <c r="D32" s="39">
        <v>2.0</v>
      </c>
      <c r="E32" s="40">
        <v>188.98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584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585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33">
        <v>28.0</v>
      </c>
      <c r="G10" s="34">
        <f>IFERROR(__xludf.DUMMYFUNCTION("F10*GOOGLEFINANCE(""CURRENCY:USDINR"")"),2645.7340000000004)</f>
        <v>2645.734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33">
        <v>20.0</v>
      </c>
      <c r="G11" s="34">
        <f>IFERROR(__xludf.DUMMYFUNCTION("F11*GOOGLEFINANCE(""CURRENCY:USDINR"")"),1889.8100000000002)</f>
        <v>1889.81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33">
        <v>55.0</v>
      </c>
      <c r="G12" s="34">
        <f>IFERROR(__xludf.DUMMYFUNCTION("F12*GOOGLEFINANCE(""CURRENCY:USDINR"")"),5196.977500000001)</f>
        <v>5196.9775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33">
        <v>40.0</v>
      </c>
      <c r="G13" s="34">
        <f>IFERROR(__xludf.DUMMYFUNCTION("F13*GOOGLEFINANCE(""CURRENCY:USDINR"")"),3779.6200000000003)</f>
        <v>3779.62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33">
        <v>110.0</v>
      </c>
      <c r="G14" s="34">
        <f>IFERROR(__xludf.DUMMYFUNCTION("F14*GOOGLEFINANCE(""CURRENCY:USDINR"")"),10393.955000000002)</f>
        <v>10393.955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33">
        <v>85.0</v>
      </c>
      <c r="G15" s="34">
        <f>IFERROR(__xludf.DUMMYFUNCTION("F15*GOOGLEFINANCE(""CURRENCY:USDINR"")"),8031.692500000001)</f>
        <v>8031.6925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33">
        <v>180.0</v>
      </c>
      <c r="G16" s="34">
        <f>IFERROR(__xludf.DUMMYFUNCTION("F16*GOOGLEFINANCE(""CURRENCY:USDINR"")"),17008.29)</f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33">
        <v>140.0</v>
      </c>
      <c r="G17" s="34">
        <f>IFERROR(__xludf.DUMMYFUNCTION("F17*GOOGLEFINANCE(""CURRENCY:USDINR"")"),13228.670000000002)</f>
        <v>13228.67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33">
        <v>22.0</v>
      </c>
      <c r="G18" s="34">
        <f>IFERROR(__xludf.DUMMYFUNCTION("F18*GOOGLEFINANCE(""CURRENCY:USDINR"")"),2078.791)</f>
        <v>2078.791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33">
        <v>22.0</v>
      </c>
      <c r="G19" s="34">
        <f>IFERROR(__xludf.DUMMYFUNCTION("F19*GOOGLEFINANCE(""CURRENCY:USDINR"")"),2078.791)</f>
        <v>2078.791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33">
        <v>14.0</v>
      </c>
      <c r="G20" s="34">
        <f>IFERROR(__xludf.DUMMYFUNCTION("F20*GOOGLEFINANCE(""CURRENCY:USDINR"")"),1322.8670000000002)</f>
        <v>1322.867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33">
        <v>28.0</v>
      </c>
      <c r="G21" s="34">
        <f>IFERROR(__xludf.DUMMYFUNCTION("F21*GOOGLEFINANCE(""CURRENCY:USDINR"")"),2645.7340000000004)</f>
        <v>2645.734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33">
        <v>2.5</v>
      </c>
      <c r="G22" s="34">
        <f>IFERROR(__xludf.DUMMYFUNCTION("F22*GOOGLEFINANCE(""CURRENCY:USDINR"")"),236.22625000000002)</f>
        <v>236.22625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33">
        <v>3.5</v>
      </c>
      <c r="G23" s="34">
        <f>IFERROR(__xludf.DUMMYFUNCTION("F23*GOOGLEFINANCE(""CURRENCY:USDINR"")"),330.71675000000005)</f>
        <v>330.71675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33">
        <v>5.5</v>
      </c>
      <c r="G24" s="34">
        <f>IFERROR(__xludf.DUMMYFUNCTION("F24*GOOGLEFINANCE(""CURRENCY:USDINR"")"),519.69775)</f>
        <v>519.69775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33">
        <v>1.2</v>
      </c>
      <c r="G25" s="34">
        <f>IFERROR(__xludf.DUMMYFUNCTION("F25*GOOGLEFINANCE(""CURRENCY:USDINR"")"),113.38860000000001)</f>
        <v>113.3886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33">
        <v>0.7</v>
      </c>
      <c r="G26" s="34">
        <f>IFERROR(__xludf.DUMMYFUNCTION("F26*GOOGLEFINANCE(""CURRENCY:USDINR"")"),66.14335)</f>
        <v>66.14335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590</v>
      </c>
      <c r="C29" s="21" t="s">
        <v>76</v>
      </c>
      <c r="D29" s="35">
        <v>0.0</v>
      </c>
      <c r="E29" s="36">
        <f>IFERROR(__xludf.DUMMYFUNCTION("D29*GOOGLEFINANCE(""CURRENCY:USDINR"")"),0.0)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591</v>
      </c>
      <c r="C30" s="25" t="s">
        <v>76</v>
      </c>
      <c r="D30" s="42">
        <v>0.0</v>
      </c>
      <c r="E30" s="43">
        <f>IFERROR(__xludf.DUMMYFUNCTION("D30*GOOGLEFINANCE(""CURRENCY:USDINR"")"),0.0)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592</v>
      </c>
      <c r="C31" s="25" t="s">
        <v>76</v>
      </c>
      <c r="D31" s="42">
        <v>0.0</v>
      </c>
      <c r="E31" s="43">
        <f>IFERROR(__xludf.DUMMYFUNCTION("D31*GOOGLEFINANCE(""CURRENCY:USDINR"")"),0.0)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593</v>
      </c>
      <c r="C32" s="25" t="s">
        <v>76</v>
      </c>
      <c r="D32" s="42">
        <v>0.0</v>
      </c>
      <c r="E32" s="43">
        <f>IFERROR(__xludf.DUMMYFUNCTION("D32*GOOGLEFINANCE(""CURRENCY:USDINR"")"),0.0)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594</v>
      </c>
      <c r="C33" s="25" t="s">
        <v>76</v>
      </c>
      <c r="D33" s="42">
        <v>0.0</v>
      </c>
      <c r="E33" s="43">
        <f>IFERROR(__xludf.DUMMYFUNCTION("D33*GOOGLEFINANCE(""CURRENCY:USDINR"")"),0.0)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595</v>
      </c>
      <c r="C34" s="25" t="s">
        <v>76</v>
      </c>
      <c r="D34" s="42">
        <v>0.0</v>
      </c>
      <c r="E34" s="43">
        <f>IFERROR(__xludf.DUMMYFUNCTION("D34*GOOGLEFINANCE(""CURRENCY:USDINR"")"),0.0)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596</v>
      </c>
      <c r="C35" s="25" t="s">
        <v>76</v>
      </c>
      <c r="D35" s="42">
        <v>0.0</v>
      </c>
      <c r="E35" s="43">
        <f>IFERROR(__xludf.DUMMYFUNCTION("D35*GOOGLEFINANCE(""CURRENCY:USDINR"")"),0.0)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597</v>
      </c>
      <c r="C36" s="25" t="s">
        <v>76</v>
      </c>
      <c r="D36" s="42">
        <v>0.0</v>
      </c>
      <c r="E36" s="43">
        <f>IFERROR(__xludf.DUMMYFUNCTION("D36*GOOGLEFINANCE(""CURRENCY:USDINR"")"),0.0)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598</v>
      </c>
      <c r="C37" s="25" t="s">
        <v>76</v>
      </c>
      <c r="D37" s="42">
        <v>0.0</v>
      </c>
      <c r="E37" s="43">
        <f>IFERROR(__xludf.DUMMYFUNCTION("D37*GOOGLEFINANCE(""CURRENCY:USDINR"")"),0.0)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599</v>
      </c>
      <c r="C38" s="25" t="s">
        <v>76</v>
      </c>
      <c r="D38" s="42">
        <v>0.0</v>
      </c>
      <c r="E38" s="43">
        <f>IFERROR(__xludf.DUMMYFUNCTION("D38*GOOGLEFINANCE(""CURRENCY:USDINR"")"),0.0)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600</v>
      </c>
      <c r="C39" s="25" t="s">
        <v>76</v>
      </c>
      <c r="D39" s="42">
        <v>0.0</v>
      </c>
      <c r="E39" s="43">
        <f>IFERROR(__xludf.DUMMYFUNCTION("D39*GOOGLEFINANCE(""CURRENCY:USDINR"")"),0.0)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601</v>
      </c>
      <c r="C40" s="25" t="s">
        <v>76</v>
      </c>
      <c r="D40" s="42">
        <v>0.0</v>
      </c>
      <c r="E40" s="43">
        <f>IFERROR(__xludf.DUMMYFUNCTION("D40*GOOGLEFINANCE(""CURRENCY:USDINR"")"),0.0)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602</v>
      </c>
      <c r="C41" s="25" t="s">
        <v>76</v>
      </c>
      <c r="D41" s="42">
        <v>0.0</v>
      </c>
      <c r="E41" s="43">
        <f>IFERROR(__xludf.DUMMYFUNCTION("D41*GOOGLEFINANCE(""CURRENCY:USDINR"")"),0.0)</f>
        <v>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37" t="s">
        <v>74</v>
      </c>
      <c r="B42" s="29" t="s">
        <v>604</v>
      </c>
      <c r="C42" s="37" t="s">
        <v>76</v>
      </c>
      <c r="D42" s="46">
        <v>0.0</v>
      </c>
      <c r="E42" s="47">
        <f>IFERROR(__xludf.DUMMYFUNCTION("D42*GOOGLEFINANCE(""CURRENCY:USDINR"")"),0.0)</f>
        <v>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603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605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57">
        <f>IFERROR(__xludf.DUMMYFUNCTION("FILTER(Kolkata!$F$10:$F$26, Kolkata!$A$10:$A$26=A10, Kolkata!$B$10:$B$26=B10, Kolkata!$D$10:$D$26=D10)"),112.5)</f>
        <v>112.5</v>
      </c>
      <c r="G10" s="104">
        <f>IFERROR(__xludf.DUMMYFUNCTION("FILTER(Kolkata!$G$10:$G$26, Kolkata!$A$10:$A$26=A10, Kolkata!$B$10:$B$26=B10, Kolkata!$D$10:$D$26=D10)"),10630.18)</f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57">
        <f>IFERROR(__xludf.DUMMYFUNCTION("FILTER(Kolkata!$F$10:$F$26, Kolkata!$A$10:$A$26=A11, Kolkata!$B$10:$B$26=B11, Kolkata!$D$10:$D$26=D11)"),81.25)</f>
        <v>81.25</v>
      </c>
      <c r="G11" s="104">
        <f>IFERROR(__xludf.DUMMYFUNCTION("FILTER(Kolkata!$G$10:$G$26, Kolkata!$A$10:$A$26=A11, Kolkata!$B$10:$B$26=B11, Kolkata!$D$10:$D$26=D11)"),7677.35)</f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57">
        <f>IFERROR(__xludf.DUMMYFUNCTION("FILTER(Kolkata!$F$10:$F$26, Kolkata!$A$10:$A$26=A12, Kolkata!$B$10:$B$26=B12, Kolkata!$D$10:$D$26=D12)"),168.75)</f>
        <v>168.75</v>
      </c>
      <c r="G12" s="104">
        <f>IFERROR(__xludf.DUMMYFUNCTION("FILTER(Kolkata!$G$10:$G$26, Kolkata!$A$10:$A$26=A12, Kolkata!$B$10:$B$26=B12, Kolkata!$D$10:$D$26=D12)"),15945.27)</f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57">
        <f>IFERROR(__xludf.DUMMYFUNCTION("FILTER(Kolkata!$F$10:$F$26, Kolkata!$A$10:$A$26=A13, Kolkata!$B$10:$B$26=B13, Kolkata!$D$10:$D$26=D13)"),118.75)</f>
        <v>118.75</v>
      </c>
      <c r="G13" s="104">
        <f>IFERROR(__xludf.DUMMYFUNCTION("FILTER(Kolkata!$G$10:$G$26, Kolkata!$A$10:$A$26=A13, Kolkata!$B$10:$B$26=B13, Kolkata!$D$10:$D$26=D13)"),11220.75)</f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57">
        <f>IFERROR(__xludf.DUMMYFUNCTION("FILTER(Kolkata!$F$10:$F$26, Kolkata!$A$10:$A$26=A14, Kolkata!$B$10:$B$26=B14, Kolkata!$D$10:$D$26=D14)"),275.0)</f>
        <v>275</v>
      </c>
      <c r="G14" s="104">
        <f>IFERROR(__xludf.DUMMYFUNCTION("FILTER(Kolkata!$G$10:$G$26, Kolkata!$A$10:$A$26=A14, Kolkata!$B$10:$B$26=B14, Kolkata!$D$10:$D$26=D14)"),25984.89)</f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57">
        <f>IFERROR(__xludf.DUMMYFUNCTION("FILTER(Kolkata!$F$10:$F$26, Kolkata!$A$10:$A$26=A15, Kolkata!$B$10:$B$26=B15, Kolkata!$D$10:$D$26=D15)"),200.0)</f>
        <v>200</v>
      </c>
      <c r="G15" s="104">
        <f>IFERROR(__xludf.DUMMYFUNCTION("FILTER(Kolkata!$G$10:$G$26, Kolkata!$A$10:$A$26=A15, Kolkata!$B$10:$B$26=B15, Kolkata!$D$10:$D$26=D15)"),18898.1)</f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57">
        <f>IFERROR(__xludf.DUMMYFUNCTION("FILTER(Kolkata!$F$10:$F$26, Kolkata!$A$10:$A$26=A16, Kolkata!$B$10:$B$26=B16, Kolkata!$D$10:$D$26=D16)"),425.0)</f>
        <v>425</v>
      </c>
      <c r="G16" s="104">
        <f>IFERROR(__xludf.DUMMYFUNCTION("FILTER(Kolkata!$G$10:$G$26, Kolkata!$A$10:$A$26=A16, Kolkata!$B$10:$B$26=B16, Kolkata!$D$10:$D$26=D16)"),40158.46)</f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57">
        <f>IFERROR(__xludf.DUMMYFUNCTION("FILTER(Kolkata!$F$10:$F$26, Kolkata!$A$10:$A$26=A17, Kolkata!$B$10:$B$26=B17, Kolkata!$D$10:$D$26=D17)"),312.5)</f>
        <v>312.5</v>
      </c>
      <c r="G17" s="104">
        <f>IFERROR(__xludf.DUMMYFUNCTION("FILTER(Kolkata!$G$10:$G$26, Kolkata!$A$10:$A$26=A17, Kolkata!$B$10:$B$26=B17, Kolkata!$D$10:$D$26=D17)"),29528.28)</f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57">
        <f>IFERROR(__xludf.DUMMYFUNCTION("FILTER(Kolkata!$F$10:$F$26, Kolkata!$A$10:$A$26=A18, Kolkata!$B$10:$B$26=B18, Kolkata!$D$10:$D$26=D18)"),68.75)</f>
        <v>68.75</v>
      </c>
      <c r="G18" s="104">
        <f>IFERROR(__xludf.DUMMYFUNCTION("FILTER(Kolkata!$G$10:$G$26, Kolkata!$A$10:$A$26=A18, Kolkata!$B$10:$B$26=B18, Kolkata!$D$10:$D$26=D18)"),6496.22)</f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57">
        <f>IFERROR(__xludf.DUMMYFUNCTION("FILTER(Kolkata!$F$10:$F$26, Kolkata!$A$10:$A$26=A19, Kolkata!$B$10:$B$26=B19, Kolkata!$D$10:$D$26=D19)"),68.75)</f>
        <v>68.75</v>
      </c>
      <c r="G19" s="104">
        <f>IFERROR(__xludf.DUMMYFUNCTION("FILTER(Kolkata!$G$10:$G$26, Kolkata!$A$10:$A$26=A19, Kolkata!$B$10:$B$26=B19, Kolkata!$D$10:$D$26=D19)"),6496.22)</f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57">
        <f>IFERROR(__xludf.DUMMYFUNCTION("FILTER(Kolkata!$F$10:$F$26, Kolkata!$A$10:$A$26=A20, Kolkata!$B$10:$B$26=B20, Kolkata!$D$10:$D$26=D20)"),56.25)</f>
        <v>56.25</v>
      </c>
      <c r="G20" s="104">
        <f>IFERROR(__xludf.DUMMYFUNCTION("FILTER(Kolkata!$G$10:$G$26, Kolkata!$A$10:$A$26=A20, Kolkata!$B$10:$B$26=B20, Kolkata!$D$10:$D$26=D20)"),5315.09)</f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57">
        <f>IFERROR(__xludf.DUMMYFUNCTION("FILTER(Kolkata!$F$10:$F$26, Kolkata!$A$10:$A$26=A21, Kolkata!$B$10:$B$26=B21, Kolkata!$D$10:$D$26=D21)"),237.5)</f>
        <v>237.5</v>
      </c>
      <c r="G21" s="104">
        <f>IFERROR(__xludf.DUMMYFUNCTION("FILTER(Kolkata!$G$10:$G$26, Kolkata!$A$10:$A$26=A21, Kolkata!$B$10:$B$26=B21, Kolkata!$D$10:$D$26=D21)"),22441.49)</f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57">
        <f>IFERROR(__xludf.DUMMYFUNCTION("FILTER(Kolkata!$F$10:$F$26, Kolkata!$A$10:$A$26=A22, Kolkata!$B$10:$B$26=B22, Kolkata!$D$10:$D$26=D22)"),56.25)</f>
        <v>56.25</v>
      </c>
      <c r="G22" s="104">
        <f>IFERROR(__xludf.DUMMYFUNCTION("FILTER(Kolkata!$G$10:$G$26, Kolkata!$A$10:$A$26=A22, Kolkata!$B$10:$B$26=B22, Kolkata!$D$10:$D$26=D22)"),5315.09)</f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57">
        <f>IFERROR(__xludf.DUMMYFUNCTION("FILTER(Kolkata!$F$10:$F$26, Kolkata!$A$10:$A$26=A23, Kolkata!$B$10:$B$26=B23, Kolkata!$D$10:$D$26=D23)"),22.5)</f>
        <v>22.5</v>
      </c>
      <c r="G23" s="104">
        <f>IFERROR(__xludf.DUMMYFUNCTION("FILTER(Kolkata!$G$10:$G$26, Kolkata!$A$10:$A$26=A23, Kolkata!$B$10:$B$26=B23, Kolkata!$D$10:$D$26=D23)"),2126.04)</f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57">
        <f>IFERROR(__xludf.DUMMYFUNCTION("FILTER(Kolkata!$F$10:$F$26, Kolkata!$A$10:$A$26=A24, Kolkata!$B$10:$B$26=B24, Kolkata!$D$10:$D$26=D24)"),31.25)</f>
        <v>31.25</v>
      </c>
      <c r="G24" s="104">
        <f>IFERROR(__xludf.DUMMYFUNCTION("FILTER(Kolkata!$G$10:$G$26, Kolkata!$A$10:$A$26=A24, Kolkata!$B$10:$B$26=B24, Kolkata!$D$10:$D$26=D24)"),2952.83)</f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57">
        <f>IFERROR(__xludf.DUMMYFUNCTION("FILTER(Kolkata!$F$10:$F$26, Kolkata!$A$10:$A$26=A25, Kolkata!$B$10:$B$26=B25, Kolkata!$D$10:$D$26=D25)"),10.0)</f>
        <v>10</v>
      </c>
      <c r="G25" s="104">
        <f>IFERROR(__xludf.DUMMYFUNCTION("FILTER(Kolkata!$G$10:$G$26, Kolkata!$A$10:$A$26=A25, Kolkata!$B$10:$B$26=B25, Kolkata!$D$10:$D$26=D25)"),944.91)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57">
        <f>IFERROR(__xludf.DUMMYFUNCTION("FILTER(Kolkata!$F$10:$F$26, Kolkata!$A$10:$A$26=A26, Kolkata!$B$10:$B$26=B26, Kolkata!$D$10:$D$26=D26)"),7.5)</f>
        <v>7.5</v>
      </c>
      <c r="G26" s="104">
        <f>IFERROR(__xludf.DUMMYFUNCTION("FILTER(Kolkata!$G$10:$G$26, Kolkata!$A$10:$A$26=A26, Kolkata!$B$10:$B$26=B26, Kolkata!$D$10:$D$26=D26)"),708.68)</f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606</v>
      </c>
      <c r="C29" s="21" t="s">
        <v>76</v>
      </c>
      <c r="D29" s="62">
        <v>0.0</v>
      </c>
      <c r="E29" s="105">
        <f t="shared" ref="E29:E40" si="1">ROUND(D29 * ($G$10/$F$10), 2)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607</v>
      </c>
      <c r="C30" s="25" t="s">
        <v>76</v>
      </c>
      <c r="D30" s="64">
        <v>0.5</v>
      </c>
      <c r="E30" s="106">
        <f t="shared" si="1"/>
        <v>47.25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608</v>
      </c>
      <c r="C31" s="25" t="s">
        <v>76</v>
      </c>
      <c r="D31" s="64">
        <v>0.5</v>
      </c>
      <c r="E31" s="106">
        <f t="shared" si="1"/>
        <v>47.25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609</v>
      </c>
      <c r="C32" s="25" t="s">
        <v>76</v>
      </c>
      <c r="D32" s="64">
        <v>1.0</v>
      </c>
      <c r="E32" s="106">
        <f t="shared" si="1"/>
        <v>94.49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610</v>
      </c>
      <c r="C33" s="25" t="s">
        <v>76</v>
      </c>
      <c r="D33" s="64">
        <v>1.5</v>
      </c>
      <c r="E33" s="106">
        <f t="shared" si="1"/>
        <v>141.74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611</v>
      </c>
      <c r="C34" s="25" t="s">
        <v>76</v>
      </c>
      <c r="D34" s="64">
        <v>0.0</v>
      </c>
      <c r="E34" s="106">
        <f t="shared" si="1"/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612</v>
      </c>
      <c r="C35" s="25" t="s">
        <v>76</v>
      </c>
      <c r="D35" s="64">
        <v>1.0</v>
      </c>
      <c r="E35" s="106">
        <f t="shared" si="1"/>
        <v>94.49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613</v>
      </c>
      <c r="C36" s="25" t="s">
        <v>76</v>
      </c>
      <c r="D36" s="64">
        <v>0.0</v>
      </c>
      <c r="E36" s="106">
        <f t="shared" si="1"/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614</v>
      </c>
      <c r="C37" s="25" t="s">
        <v>76</v>
      </c>
      <c r="D37" s="64">
        <v>0.0</v>
      </c>
      <c r="E37" s="106">
        <f t="shared" si="1"/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615</v>
      </c>
      <c r="C38" s="25" t="s">
        <v>76</v>
      </c>
      <c r="D38" s="64">
        <v>0.5</v>
      </c>
      <c r="E38" s="106">
        <f t="shared" si="1"/>
        <v>47.25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616</v>
      </c>
      <c r="C39" s="25" t="s">
        <v>76</v>
      </c>
      <c r="D39" s="64">
        <v>0.0</v>
      </c>
      <c r="E39" s="106">
        <f t="shared" si="1"/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617</v>
      </c>
      <c r="C40" s="37" t="s">
        <v>76</v>
      </c>
      <c r="D40" s="66">
        <v>0.0</v>
      </c>
      <c r="E40" s="107">
        <f t="shared" si="1"/>
        <v>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618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619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622</v>
      </c>
      <c r="C29" s="21" t="s">
        <v>76</v>
      </c>
      <c r="D29" s="23">
        <v>2.0</v>
      </c>
      <c r="E29" s="24">
        <v>188.98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623</v>
      </c>
      <c r="C30" s="25" t="s">
        <v>76</v>
      </c>
      <c r="D30" s="27">
        <v>2.0</v>
      </c>
      <c r="E30" s="28">
        <v>188.98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624</v>
      </c>
      <c r="C31" s="25" t="s">
        <v>76</v>
      </c>
      <c r="D31" s="27">
        <v>2.0</v>
      </c>
      <c r="E31" s="28">
        <v>188.98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625</v>
      </c>
      <c r="C32" s="25" t="s">
        <v>76</v>
      </c>
      <c r="D32" s="27">
        <v>2.0</v>
      </c>
      <c r="E32" s="28">
        <v>188.98</v>
      </c>
      <c r="F32" s="90"/>
      <c r="G32" s="91"/>
      <c r="H32" s="91"/>
      <c r="I32" s="25" t="s">
        <v>78</v>
      </c>
    </row>
    <row r="33" ht="14.25" customHeight="1">
      <c r="A33" s="37" t="s">
        <v>74</v>
      </c>
      <c r="B33" s="111" t="s">
        <v>626</v>
      </c>
      <c r="C33" s="37" t="s">
        <v>76</v>
      </c>
      <c r="D33" s="39">
        <v>5.0</v>
      </c>
      <c r="E33" s="40">
        <v>472.45</v>
      </c>
      <c r="F33" s="112"/>
      <c r="G33" s="113"/>
      <c r="H33" s="113"/>
      <c r="I33" s="37" t="s">
        <v>78</v>
      </c>
    </row>
    <row r="34" ht="14.25" customHeight="1">
      <c r="A34" s="114"/>
      <c r="B34" s="114"/>
      <c r="C34" s="114"/>
      <c r="D34" s="114"/>
      <c r="E34" s="114"/>
      <c r="F34" s="115"/>
      <c r="G34" s="114"/>
      <c r="H34" s="114"/>
      <c r="I34" s="114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620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621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09">
        <f>IFERROR(__xludf.DUMMYFUNCTION("FILTER(Kolkata!$F$10:$F$26, Kolkata!$A$10:$A$26=A10, Kolkata!$B$10:$B$26=B10, Kolkata!$D$10:$D$26=D10)"),112.5)</f>
        <v>112.5</v>
      </c>
      <c r="G10" s="110">
        <f>IFERROR(__xludf.DUMMYFUNCTION("FILTER(Kolkata!$G$10:$G$26, Kolkata!$A$10:$A$26=A10, Kolkata!$B$10:$B$26=B10, Kolkata!$D$10:$D$26=D10)"),10630.18)</f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09">
        <f>IFERROR(__xludf.DUMMYFUNCTION("FILTER(Kolkata!$F$10:$F$26, Kolkata!$A$10:$A$26=A11, Kolkata!$B$10:$B$26=B11, Kolkata!$D$10:$D$26=D11)"),81.25)</f>
        <v>81.25</v>
      </c>
      <c r="G11" s="110">
        <f>IFERROR(__xludf.DUMMYFUNCTION("FILTER(Kolkata!$G$10:$G$26, Kolkata!$A$10:$A$26=A11, Kolkata!$B$10:$B$26=B11, Kolkata!$D$10:$D$26=D11)"),7677.35)</f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09">
        <f>IFERROR(__xludf.DUMMYFUNCTION("FILTER(Kolkata!$F$10:$F$26, Kolkata!$A$10:$A$26=A12, Kolkata!$B$10:$B$26=B12, Kolkata!$D$10:$D$26=D12)"),168.75)</f>
        <v>168.75</v>
      </c>
      <c r="G12" s="110">
        <f>IFERROR(__xludf.DUMMYFUNCTION("FILTER(Kolkata!$G$10:$G$26, Kolkata!$A$10:$A$26=A12, Kolkata!$B$10:$B$26=B12, Kolkata!$D$10:$D$26=D12)"),15945.27)</f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09">
        <f>IFERROR(__xludf.DUMMYFUNCTION("FILTER(Kolkata!$F$10:$F$26, Kolkata!$A$10:$A$26=A13, Kolkata!$B$10:$B$26=B13, Kolkata!$D$10:$D$26=D13)"),118.75)</f>
        <v>118.75</v>
      </c>
      <c r="G13" s="110">
        <f>IFERROR(__xludf.DUMMYFUNCTION("FILTER(Kolkata!$G$10:$G$26, Kolkata!$A$10:$A$26=A13, Kolkata!$B$10:$B$26=B13, Kolkata!$D$10:$D$26=D13)"),11220.75)</f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09">
        <f>IFERROR(__xludf.DUMMYFUNCTION("FILTER(Kolkata!$F$10:$F$26, Kolkata!$A$10:$A$26=A14, Kolkata!$B$10:$B$26=B14, Kolkata!$D$10:$D$26=D14)"),275.0)</f>
        <v>275</v>
      </c>
      <c r="G14" s="110">
        <f>IFERROR(__xludf.DUMMYFUNCTION("FILTER(Kolkata!$G$10:$G$26, Kolkata!$A$10:$A$26=A14, Kolkata!$B$10:$B$26=B14, Kolkata!$D$10:$D$26=D14)"),25984.89)</f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09">
        <f>IFERROR(__xludf.DUMMYFUNCTION("FILTER(Kolkata!$F$10:$F$26, Kolkata!$A$10:$A$26=A15, Kolkata!$B$10:$B$26=B15, Kolkata!$D$10:$D$26=D15)"),200.0)</f>
        <v>200</v>
      </c>
      <c r="G15" s="110">
        <f>IFERROR(__xludf.DUMMYFUNCTION("FILTER(Kolkata!$G$10:$G$26, Kolkata!$A$10:$A$26=A15, Kolkata!$B$10:$B$26=B15, Kolkata!$D$10:$D$26=D15)"),18898.1)</f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09">
        <f>IFERROR(__xludf.DUMMYFUNCTION("FILTER(Kolkata!$F$10:$F$26, Kolkata!$A$10:$A$26=A16, Kolkata!$B$10:$B$26=B16, Kolkata!$D$10:$D$26=D16)"),425.0)</f>
        <v>425</v>
      </c>
      <c r="G16" s="110">
        <f>IFERROR(__xludf.DUMMYFUNCTION("FILTER(Kolkata!$G$10:$G$26, Kolkata!$A$10:$A$26=A16, Kolkata!$B$10:$B$26=B16, Kolkata!$D$10:$D$26=D16)"),40158.46)</f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09">
        <f>IFERROR(__xludf.DUMMYFUNCTION("FILTER(Kolkata!$F$10:$F$26, Kolkata!$A$10:$A$26=A17, Kolkata!$B$10:$B$26=B17, Kolkata!$D$10:$D$26=D17)"),312.5)</f>
        <v>312.5</v>
      </c>
      <c r="G17" s="110">
        <f>IFERROR(__xludf.DUMMYFUNCTION("FILTER(Kolkata!$G$10:$G$26, Kolkata!$A$10:$A$26=A17, Kolkata!$B$10:$B$26=B17, Kolkata!$D$10:$D$26=D17)"),29528.28)</f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09">
        <f>IFERROR(__xludf.DUMMYFUNCTION("FILTER(Kolkata!$F$10:$F$26, Kolkata!$A$10:$A$26=A18, Kolkata!$B$10:$B$26=B18, Kolkata!$D$10:$D$26=D18)"),68.75)</f>
        <v>68.75</v>
      </c>
      <c r="G18" s="110">
        <f>IFERROR(__xludf.DUMMYFUNCTION("FILTER(Kolkata!$G$10:$G$26, Kolkata!$A$10:$A$26=A18, Kolkata!$B$10:$B$26=B18, Kolkata!$D$10:$D$26=D18)"),6496.22)</f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09">
        <f>IFERROR(__xludf.DUMMYFUNCTION("FILTER(Kolkata!$F$10:$F$26, Kolkata!$A$10:$A$26=A19, Kolkata!$B$10:$B$26=B19, Kolkata!$D$10:$D$26=D19)"),68.75)</f>
        <v>68.75</v>
      </c>
      <c r="G19" s="110">
        <f>IFERROR(__xludf.DUMMYFUNCTION("FILTER(Kolkata!$G$10:$G$26, Kolkata!$A$10:$A$26=A19, Kolkata!$B$10:$B$26=B19, Kolkata!$D$10:$D$26=D19)"),6496.22)</f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09">
        <f>IFERROR(__xludf.DUMMYFUNCTION("FILTER(Kolkata!$F$10:$F$26, Kolkata!$A$10:$A$26=A20, Kolkata!$B$10:$B$26=B20, Kolkata!$D$10:$D$26=D20)"),56.25)</f>
        <v>56.25</v>
      </c>
      <c r="G20" s="110">
        <f>IFERROR(__xludf.DUMMYFUNCTION("FILTER(Kolkata!$G$10:$G$26, Kolkata!$A$10:$A$26=A20, Kolkata!$B$10:$B$26=B20, Kolkata!$D$10:$D$26=D20)"),5315.09)</f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09">
        <f>IFERROR(__xludf.DUMMYFUNCTION("FILTER(Kolkata!$F$10:$F$26, Kolkata!$A$10:$A$26=A21, Kolkata!$B$10:$B$26=B21, Kolkata!$D$10:$D$26=D21)"),237.5)</f>
        <v>237.5</v>
      </c>
      <c r="G21" s="110">
        <f>IFERROR(__xludf.DUMMYFUNCTION("FILTER(Kolkata!$G$10:$G$26, Kolkata!$A$10:$A$26=A21, Kolkata!$B$10:$B$26=B21, Kolkata!$D$10:$D$26=D21)"),22441.49)</f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09">
        <f>IFERROR(__xludf.DUMMYFUNCTION("FILTER(Kolkata!$F$10:$F$26, Kolkata!$A$10:$A$26=A22, Kolkata!$B$10:$B$26=B22, Kolkata!$D$10:$D$26=D22)"),56.25)</f>
        <v>56.25</v>
      </c>
      <c r="G22" s="110">
        <f>IFERROR(__xludf.DUMMYFUNCTION("FILTER(Kolkata!$G$10:$G$26, Kolkata!$A$10:$A$26=A22, Kolkata!$B$10:$B$26=B22, Kolkata!$D$10:$D$26=D22)"),5315.09)</f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09">
        <f>IFERROR(__xludf.DUMMYFUNCTION("FILTER(Kolkata!$F$10:$F$26, Kolkata!$A$10:$A$26=A23, Kolkata!$B$10:$B$26=B23, Kolkata!$D$10:$D$26=D23)"),22.5)</f>
        <v>22.5</v>
      </c>
      <c r="G23" s="110">
        <f>IFERROR(__xludf.DUMMYFUNCTION("FILTER(Kolkata!$G$10:$G$26, Kolkata!$A$10:$A$26=A23, Kolkata!$B$10:$B$26=B23, Kolkata!$D$10:$D$26=D23)"),2126.04)</f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09">
        <f>IFERROR(__xludf.DUMMYFUNCTION("FILTER(Kolkata!$F$10:$F$26, Kolkata!$A$10:$A$26=A24, Kolkata!$B$10:$B$26=B24, Kolkata!$D$10:$D$26=D24)"),31.25)</f>
        <v>31.25</v>
      </c>
      <c r="G24" s="110">
        <f>IFERROR(__xludf.DUMMYFUNCTION("FILTER(Kolkata!$G$10:$G$26, Kolkata!$A$10:$A$26=A24, Kolkata!$B$10:$B$26=B24, Kolkata!$D$10:$D$26=D24)"),2952.83)</f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09">
        <f>IFERROR(__xludf.DUMMYFUNCTION("FILTER(Kolkata!$F$10:$F$26, Kolkata!$A$10:$A$26=A25, Kolkata!$B$10:$B$26=B25, Kolkata!$D$10:$D$26=D25)"),10.0)</f>
        <v>10</v>
      </c>
      <c r="G25" s="110">
        <f>IFERROR(__xludf.DUMMYFUNCTION("FILTER(Kolkata!$G$10:$G$26, Kolkata!$A$10:$A$26=A25, Kolkata!$B$10:$B$26=B25, Kolkata!$D$10:$D$26=D25)"),944.91)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09">
        <f>IFERROR(__xludf.DUMMYFUNCTION("FILTER(Kolkata!$F$10:$F$26, Kolkata!$A$10:$A$26=A26, Kolkata!$B$10:$B$26=B26, Kolkata!$D$10:$D$26=D26)"),7.5)</f>
        <v>7.5</v>
      </c>
      <c r="G26" s="110">
        <f>IFERROR(__xludf.DUMMYFUNCTION("FILTER(Kolkata!$G$10:$G$26, Kolkata!$A$10:$A$26=A26, Kolkata!$B$10:$B$26=B26, Kolkata!$D$10:$D$26=D26)"),708.68)</f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85" t="s">
        <v>43</v>
      </c>
      <c r="E28" s="85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627</v>
      </c>
      <c r="C29" s="21" t="s">
        <v>76</v>
      </c>
      <c r="D29" s="116">
        <v>2.0</v>
      </c>
      <c r="E29" s="117">
        <f t="shared" ref="E29:E41" si="1">ROUND(D29 * ($G$10/$F$10), 2)</f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628</v>
      </c>
      <c r="C30" s="25" t="s">
        <v>76</v>
      </c>
      <c r="D30" s="118">
        <v>2.0</v>
      </c>
      <c r="E30" s="119">
        <f t="shared" si="1"/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629</v>
      </c>
      <c r="C31" s="25" t="s">
        <v>76</v>
      </c>
      <c r="D31" s="118">
        <v>2.0</v>
      </c>
      <c r="E31" s="119">
        <f t="shared" si="1"/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630</v>
      </c>
      <c r="C32" s="25" t="s">
        <v>76</v>
      </c>
      <c r="D32" s="118">
        <v>5.0</v>
      </c>
      <c r="E32" s="119">
        <f t="shared" si="1"/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631</v>
      </c>
      <c r="C33" s="25" t="s">
        <v>76</v>
      </c>
      <c r="D33" s="118">
        <v>1.0</v>
      </c>
      <c r="E33" s="119">
        <f t="shared" si="1"/>
        <v>94.49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632</v>
      </c>
      <c r="C34" s="25" t="s">
        <v>76</v>
      </c>
      <c r="D34" s="118">
        <v>6.0</v>
      </c>
      <c r="E34" s="119">
        <f t="shared" si="1"/>
        <v>566.94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633</v>
      </c>
      <c r="C35" s="25" t="s">
        <v>76</v>
      </c>
      <c r="D35" s="120">
        <v>2.0</v>
      </c>
      <c r="E35" s="121">
        <f t="shared" si="1"/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634</v>
      </c>
      <c r="C36" s="25" t="s">
        <v>76</v>
      </c>
      <c r="D36" s="120">
        <v>2.0</v>
      </c>
      <c r="E36" s="121">
        <f t="shared" si="1"/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635</v>
      </c>
      <c r="C37" s="25" t="s">
        <v>76</v>
      </c>
      <c r="D37" s="120">
        <v>0.0</v>
      </c>
      <c r="E37" s="121">
        <f t="shared" si="1"/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636</v>
      </c>
      <c r="C38" s="25" t="s">
        <v>76</v>
      </c>
      <c r="D38" s="120">
        <v>2.0</v>
      </c>
      <c r="E38" s="121">
        <f t="shared" si="1"/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637</v>
      </c>
      <c r="C39" s="25" t="s">
        <v>76</v>
      </c>
      <c r="D39" s="120">
        <v>6.0</v>
      </c>
      <c r="E39" s="121">
        <f t="shared" si="1"/>
        <v>566.94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638</v>
      </c>
      <c r="C40" s="25" t="s">
        <v>76</v>
      </c>
      <c r="D40" s="120">
        <v>2.0</v>
      </c>
      <c r="E40" s="121">
        <f t="shared" si="1"/>
        <v>188.98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37" t="s">
        <v>74</v>
      </c>
      <c r="B41" s="29" t="s">
        <v>639</v>
      </c>
      <c r="C41" s="25" t="s">
        <v>76</v>
      </c>
      <c r="D41" s="122">
        <v>1.0</v>
      </c>
      <c r="E41" s="123">
        <f t="shared" si="1"/>
        <v>94.49</v>
      </c>
      <c r="F41" s="124"/>
      <c r="G41" s="124"/>
      <c r="H41" s="124"/>
      <c r="I41" s="124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4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640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641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49" t="s">
        <v>642</v>
      </c>
      <c r="C29" s="4" t="s">
        <v>76</v>
      </c>
      <c r="D29" s="14">
        <v>2.0</v>
      </c>
      <c r="E29" s="15">
        <v>188.98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49" t="s">
        <v>643</v>
      </c>
      <c r="C30" s="4" t="s">
        <v>76</v>
      </c>
      <c r="D30" s="14">
        <v>2.0</v>
      </c>
      <c r="E30" s="15">
        <v>188.98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49" t="s">
        <v>644</v>
      </c>
      <c r="C31" s="4" t="s">
        <v>76</v>
      </c>
      <c r="D31" s="14">
        <v>2.0</v>
      </c>
      <c r="E31" s="15">
        <v>188.98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49" t="s">
        <v>645</v>
      </c>
      <c r="C32" s="4" t="s">
        <v>76</v>
      </c>
      <c r="D32" s="14">
        <v>2.0</v>
      </c>
      <c r="E32" s="15">
        <v>188.98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49" t="s">
        <v>646</v>
      </c>
      <c r="C33" s="4" t="s">
        <v>76</v>
      </c>
      <c r="D33" s="14">
        <v>2.0</v>
      </c>
      <c r="E33" s="15">
        <v>188.98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49" t="s">
        <v>647</v>
      </c>
      <c r="C34" s="4" t="s">
        <v>76</v>
      </c>
      <c r="D34" s="14">
        <v>2.0</v>
      </c>
      <c r="E34" s="15">
        <v>188.98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648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649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654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655</v>
      </c>
      <c r="C30" s="25" t="s">
        <v>76</v>
      </c>
      <c r="D30" s="27">
        <v>6.0</v>
      </c>
      <c r="E30" s="28"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656</v>
      </c>
      <c r="C31" s="25" t="s">
        <v>76</v>
      </c>
      <c r="D31" s="27">
        <v>3.0</v>
      </c>
      <c r="E31" s="28">
        <v>283.47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657</v>
      </c>
      <c r="C32" s="25" t="s">
        <v>76</v>
      </c>
      <c r="D32" s="27">
        <v>0.0</v>
      </c>
      <c r="E32" s="28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658</v>
      </c>
      <c r="C33" s="25" t="s">
        <v>76</v>
      </c>
      <c r="D33" s="27">
        <v>6.0</v>
      </c>
      <c r="E33" s="28">
        <v>566.94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659</v>
      </c>
      <c r="C34" s="25" t="s">
        <v>76</v>
      </c>
      <c r="D34" s="27">
        <v>40.0</v>
      </c>
      <c r="E34" s="28">
        <v>3779.62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660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9" t="s">
        <v>662</v>
      </c>
      <c r="C36" s="25" t="s">
        <v>76</v>
      </c>
      <c r="D36" s="27">
        <v>2.0</v>
      </c>
      <c r="E36" s="28">
        <v>188.98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6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650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652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664</v>
      </c>
      <c r="C29" s="21" t="s">
        <v>76</v>
      </c>
      <c r="D29" s="23">
        <v>6.0</v>
      </c>
      <c r="E29" s="24">
        <v>566.94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668</v>
      </c>
      <c r="C30" s="25" t="s">
        <v>76</v>
      </c>
      <c r="D30" s="27">
        <v>6.0</v>
      </c>
      <c r="E30" s="28"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673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676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677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678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679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680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681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682</v>
      </c>
      <c r="C38" s="25" t="s">
        <v>76</v>
      </c>
      <c r="D38" s="27">
        <v>0.0</v>
      </c>
      <c r="E38" s="28">
        <v>0.0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683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684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651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653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661</v>
      </c>
      <c r="C29" s="21" t="s">
        <v>76</v>
      </c>
      <c r="D29" s="23">
        <v>2.0</v>
      </c>
      <c r="E29" s="24">
        <v>188.98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663</v>
      </c>
      <c r="C30" s="25" t="s">
        <v>76</v>
      </c>
      <c r="D30" s="27">
        <v>0.0</v>
      </c>
      <c r="E30" s="28">
        <v>0.0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665</v>
      </c>
      <c r="C31" s="25" t="s">
        <v>76</v>
      </c>
      <c r="D31" s="27">
        <v>0.0</v>
      </c>
      <c r="E31" s="28">
        <v>0.0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666</v>
      </c>
      <c r="C32" s="25" t="s">
        <v>76</v>
      </c>
      <c r="D32" s="27">
        <v>2.0</v>
      </c>
      <c r="E32" s="28">
        <v>188.98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667</v>
      </c>
      <c r="C33" s="25" t="s">
        <v>76</v>
      </c>
      <c r="D33" s="27">
        <v>2.0</v>
      </c>
      <c r="E33" s="28">
        <v>188.98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669</v>
      </c>
      <c r="C34" s="25" t="s">
        <v>76</v>
      </c>
      <c r="D34" s="27">
        <v>3.0</v>
      </c>
      <c r="E34" s="28">
        <v>283.47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670</v>
      </c>
      <c r="C35" s="25" t="s">
        <v>76</v>
      </c>
      <c r="D35" s="27">
        <v>2.0</v>
      </c>
      <c r="E35" s="28">
        <v>188.98</v>
      </c>
    </row>
    <row r="36" ht="14.25" customHeight="1">
      <c r="A36" s="25" t="s">
        <v>74</v>
      </c>
      <c r="B36" s="26" t="s">
        <v>671</v>
      </c>
      <c r="C36" s="25" t="s">
        <v>76</v>
      </c>
      <c r="D36" s="27">
        <v>2.0</v>
      </c>
      <c r="E36" s="28">
        <v>188.98</v>
      </c>
    </row>
    <row r="37" ht="14.25" customHeight="1">
      <c r="A37" s="25" t="s">
        <v>74</v>
      </c>
      <c r="B37" s="26" t="s">
        <v>672</v>
      </c>
      <c r="C37" s="25" t="s">
        <v>76</v>
      </c>
      <c r="D37" s="27">
        <v>2.0</v>
      </c>
      <c r="E37" s="28">
        <v>188.98</v>
      </c>
    </row>
    <row r="38" ht="14.25" customHeight="1">
      <c r="A38" s="25" t="s">
        <v>74</v>
      </c>
      <c r="B38" s="26" t="s">
        <v>674</v>
      </c>
      <c r="C38" s="25" t="s">
        <v>76</v>
      </c>
      <c r="D38" s="27">
        <v>2.0</v>
      </c>
      <c r="E38" s="28">
        <v>188.98</v>
      </c>
    </row>
    <row r="39" ht="14.25" customHeight="1">
      <c r="A39" s="25" t="s">
        <v>74</v>
      </c>
      <c r="B39" s="29" t="s">
        <v>675</v>
      </c>
      <c r="C39" s="25" t="s">
        <v>76</v>
      </c>
      <c r="D39" s="27">
        <v>2.0</v>
      </c>
      <c r="E39" s="28">
        <v>188.98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685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686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687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688</v>
      </c>
      <c r="C30" s="25" t="s">
        <v>76</v>
      </c>
      <c r="D30" s="27">
        <v>6.0</v>
      </c>
      <c r="E30" s="28"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689</v>
      </c>
      <c r="C31" s="25" t="s">
        <v>76</v>
      </c>
      <c r="D31" s="27">
        <v>3.0</v>
      </c>
      <c r="E31" s="28">
        <v>283.47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690</v>
      </c>
      <c r="C32" s="25" t="s">
        <v>76</v>
      </c>
      <c r="D32" s="27">
        <v>0.0</v>
      </c>
      <c r="E32" s="28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691</v>
      </c>
      <c r="C33" s="25" t="s">
        <v>76</v>
      </c>
      <c r="D33" s="27">
        <v>0.0</v>
      </c>
      <c r="E33" s="28">
        <v>0.0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692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693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694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695</v>
      </c>
      <c r="C37" s="25" t="s">
        <v>76</v>
      </c>
      <c r="D37" s="27">
        <v>3.0</v>
      </c>
      <c r="E37" s="28">
        <v>283.47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696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697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698</v>
      </c>
      <c r="C40" s="25" t="s">
        <v>76</v>
      </c>
      <c r="D40" s="27">
        <v>0.0</v>
      </c>
      <c r="E40" s="28">
        <v>0.0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699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701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707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710</v>
      </c>
      <c r="C30" s="25" t="s">
        <v>76</v>
      </c>
      <c r="D30" s="27">
        <v>0.0</v>
      </c>
      <c r="E30" s="28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713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715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718</v>
      </c>
      <c r="C33" s="37" t="s">
        <v>76</v>
      </c>
      <c r="D33" s="39">
        <v>2.0</v>
      </c>
      <c r="E33" s="40">
        <v>188.98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700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702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705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706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708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709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711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712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714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716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717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719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720</v>
      </c>
      <c r="C39" s="25" t="s">
        <v>76</v>
      </c>
      <c r="D39" s="27">
        <v>3.0</v>
      </c>
      <c r="E39" s="28">
        <v>283.47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721</v>
      </c>
      <c r="C40" s="25" t="s">
        <v>76</v>
      </c>
      <c r="D40" s="27">
        <v>3.0</v>
      </c>
      <c r="E40" s="28">
        <v>283.47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703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704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722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723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724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725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726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727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728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729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730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731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732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733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B41" s="48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734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735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736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737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739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741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742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743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744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745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746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747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748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749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738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740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750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752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753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755</v>
      </c>
      <c r="C32" s="25" t="s">
        <v>76</v>
      </c>
      <c r="D32" s="27">
        <v>3.0</v>
      </c>
      <c r="E32" s="28">
        <v>283.47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756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757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758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759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760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761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762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763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751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754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764</v>
      </c>
      <c r="C29" s="21" t="s">
        <v>76</v>
      </c>
      <c r="D29" s="23">
        <v>2.0</v>
      </c>
      <c r="E29" s="24">
        <v>188.98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765</v>
      </c>
      <c r="C30" s="25" t="s">
        <v>76</v>
      </c>
      <c r="D30" s="27">
        <v>3.0</v>
      </c>
      <c r="E30" s="28">
        <v>283.47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766</v>
      </c>
      <c r="C31" s="25" t="s">
        <v>76</v>
      </c>
      <c r="D31" s="27">
        <v>2.0</v>
      </c>
      <c r="E31" s="28">
        <v>188.98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767</v>
      </c>
      <c r="C32" s="25" t="s">
        <v>76</v>
      </c>
      <c r="D32" s="27">
        <v>2.0</v>
      </c>
      <c r="E32" s="28">
        <v>188.98</v>
      </c>
      <c r="F32" s="90"/>
      <c r="G32" s="91"/>
      <c r="H32" s="91"/>
      <c r="I32" s="25" t="s">
        <v>78</v>
      </c>
    </row>
    <row r="33" ht="14.25" customHeight="1">
      <c r="A33" s="25" t="s">
        <v>74</v>
      </c>
      <c r="B33" s="89" t="s">
        <v>768</v>
      </c>
      <c r="C33" s="25" t="s">
        <v>76</v>
      </c>
      <c r="D33" s="27">
        <v>2.0</v>
      </c>
      <c r="E33" s="28">
        <v>188.98</v>
      </c>
      <c r="F33" s="90"/>
      <c r="G33" s="91"/>
      <c r="H33" s="91"/>
      <c r="I33" s="25" t="s">
        <v>78</v>
      </c>
    </row>
    <row r="34" ht="14.25" customHeight="1">
      <c r="A34" s="37" t="s">
        <v>74</v>
      </c>
      <c r="B34" s="111" t="s">
        <v>769</v>
      </c>
      <c r="C34" s="37" t="s">
        <v>76</v>
      </c>
      <c r="D34" s="39">
        <v>2.0</v>
      </c>
      <c r="E34" s="40">
        <v>188.98</v>
      </c>
      <c r="F34" s="112"/>
      <c r="G34" s="113"/>
      <c r="H34" s="113"/>
      <c r="I34" s="37" t="s">
        <v>78</v>
      </c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770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771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776</v>
      </c>
      <c r="C29" s="21" t="s">
        <v>76</v>
      </c>
      <c r="D29" s="23">
        <v>40.0</v>
      </c>
      <c r="E29" s="24">
        <v>3779.62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777</v>
      </c>
      <c r="C30" s="25" t="s">
        <v>76</v>
      </c>
      <c r="D30" s="27">
        <v>6.0</v>
      </c>
      <c r="E30" s="28">
        <v>566.94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779</v>
      </c>
      <c r="C31" s="25" t="s">
        <v>76</v>
      </c>
      <c r="D31" s="27">
        <v>40.0</v>
      </c>
      <c r="E31" s="28">
        <v>3779.62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780</v>
      </c>
      <c r="C32" s="25" t="s">
        <v>76</v>
      </c>
      <c r="D32" s="27">
        <v>6.0</v>
      </c>
      <c r="E32" s="28">
        <v>566.94</v>
      </c>
      <c r="F32" s="90"/>
      <c r="G32" s="91"/>
      <c r="H32" s="91"/>
      <c r="I32" s="25" t="s">
        <v>78</v>
      </c>
    </row>
    <row r="33" ht="14.25" customHeight="1">
      <c r="A33" s="37" t="s">
        <v>74</v>
      </c>
      <c r="B33" s="111" t="s">
        <v>782</v>
      </c>
      <c r="C33" s="37" t="s">
        <v>76</v>
      </c>
      <c r="D33" s="39">
        <v>2.0</v>
      </c>
      <c r="E33" s="40">
        <v>188.98</v>
      </c>
      <c r="F33" s="112"/>
      <c r="G33" s="113"/>
      <c r="H33" s="113"/>
      <c r="I33" s="37" t="s">
        <v>78</v>
      </c>
    </row>
    <row r="34" ht="14.25" customHeight="1">
      <c r="A34" s="114"/>
      <c r="B34" s="114"/>
      <c r="C34" s="114"/>
      <c r="D34" s="114"/>
      <c r="E34" s="114"/>
      <c r="F34" s="115"/>
      <c r="G34" s="114"/>
      <c r="H34" s="114"/>
      <c r="I34" s="114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772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773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778</v>
      </c>
      <c r="C29" s="21" t="s">
        <v>76</v>
      </c>
      <c r="D29" s="23">
        <v>2.0</v>
      </c>
      <c r="E29" s="24">
        <v>188.98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781</v>
      </c>
      <c r="C30" s="25" t="s">
        <v>76</v>
      </c>
      <c r="D30" s="27">
        <v>2.0</v>
      </c>
      <c r="E30" s="28">
        <v>188.98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783</v>
      </c>
      <c r="C31" s="25" t="s">
        <v>76</v>
      </c>
      <c r="D31" s="27">
        <v>2.0</v>
      </c>
      <c r="E31" s="28">
        <v>188.98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784</v>
      </c>
      <c r="C32" s="25" t="s">
        <v>76</v>
      </c>
      <c r="D32" s="27">
        <v>2.0</v>
      </c>
      <c r="E32" s="28">
        <v>188.98</v>
      </c>
      <c r="F32" s="90"/>
      <c r="G32" s="91"/>
      <c r="H32" s="91"/>
      <c r="I32" s="25" t="s">
        <v>78</v>
      </c>
    </row>
    <row r="33" ht="14.25" customHeight="1">
      <c r="A33" s="37" t="s">
        <v>74</v>
      </c>
      <c r="B33" s="111" t="s">
        <v>785</v>
      </c>
      <c r="C33" s="37" t="s">
        <v>76</v>
      </c>
      <c r="D33" s="39">
        <v>2.0</v>
      </c>
      <c r="E33" s="40">
        <v>188.98</v>
      </c>
      <c r="F33" s="112"/>
      <c r="G33" s="113"/>
      <c r="H33" s="113"/>
      <c r="I33" s="37" t="s">
        <v>78</v>
      </c>
    </row>
    <row r="34" ht="14.25" customHeight="1">
      <c r="A34" s="114"/>
      <c r="B34" s="114"/>
      <c r="C34" s="114"/>
      <c r="D34" s="114"/>
      <c r="E34" s="114"/>
      <c r="F34" s="115"/>
      <c r="G34" s="114"/>
      <c r="H34" s="114"/>
      <c r="I34" s="114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774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775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786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787</v>
      </c>
      <c r="C30" s="25" t="s">
        <v>76</v>
      </c>
      <c r="D30" s="27">
        <v>3.0</v>
      </c>
      <c r="E30" s="28">
        <v>283.47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788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789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790</v>
      </c>
      <c r="C33" s="37" t="s">
        <v>76</v>
      </c>
      <c r="D33" s="39">
        <v>0.0</v>
      </c>
      <c r="E33" s="40">
        <v>0.0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791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792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57">
        <f>IFERROR(__xludf.DUMMYFUNCTION("FILTER(Kolkata!$F$10:$F$26, Kolkata!$A$10:$A$26=A10, Kolkata!$B$10:$B$26=B10, Kolkata!$D$10:$D$26=D10)"),112.5)</f>
        <v>112.5</v>
      </c>
      <c r="G10" s="104">
        <f>IFERROR(__xludf.DUMMYFUNCTION("FILTER(Kolkata!$G$10:$G$26, Kolkata!$A$10:$A$26=A10, Kolkata!$B$10:$B$26=B10, Kolkata!$D$10:$D$26=D10)"),10630.18)</f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57">
        <f>IFERROR(__xludf.DUMMYFUNCTION("FILTER(Kolkata!$F$10:$F$26, Kolkata!$A$10:$A$26=A11, Kolkata!$B$10:$B$26=B11, Kolkata!$D$10:$D$26=D11)"),81.25)</f>
        <v>81.25</v>
      </c>
      <c r="G11" s="104">
        <f>IFERROR(__xludf.DUMMYFUNCTION("FILTER(Kolkata!$G$10:$G$26, Kolkata!$A$10:$A$26=A11, Kolkata!$B$10:$B$26=B11, Kolkata!$D$10:$D$26=D11)"),7677.35)</f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57">
        <f>IFERROR(__xludf.DUMMYFUNCTION("FILTER(Kolkata!$F$10:$F$26, Kolkata!$A$10:$A$26=A12, Kolkata!$B$10:$B$26=B12, Kolkata!$D$10:$D$26=D12)"),168.75)</f>
        <v>168.75</v>
      </c>
      <c r="G12" s="104">
        <f>IFERROR(__xludf.DUMMYFUNCTION("FILTER(Kolkata!$G$10:$G$26, Kolkata!$A$10:$A$26=A12, Kolkata!$B$10:$B$26=B12, Kolkata!$D$10:$D$26=D12)"),15945.27)</f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57">
        <f>IFERROR(__xludf.DUMMYFUNCTION("FILTER(Kolkata!$F$10:$F$26, Kolkata!$A$10:$A$26=A13, Kolkata!$B$10:$B$26=B13, Kolkata!$D$10:$D$26=D13)"),118.75)</f>
        <v>118.75</v>
      </c>
      <c r="G13" s="104">
        <f>IFERROR(__xludf.DUMMYFUNCTION("FILTER(Kolkata!$G$10:$G$26, Kolkata!$A$10:$A$26=A13, Kolkata!$B$10:$B$26=B13, Kolkata!$D$10:$D$26=D13)"),11220.75)</f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57">
        <f>IFERROR(__xludf.DUMMYFUNCTION("FILTER(Kolkata!$F$10:$F$26, Kolkata!$A$10:$A$26=A14, Kolkata!$B$10:$B$26=B14, Kolkata!$D$10:$D$26=D14)"),275.0)</f>
        <v>275</v>
      </c>
      <c r="G14" s="104">
        <f>IFERROR(__xludf.DUMMYFUNCTION("FILTER(Kolkata!$G$10:$G$26, Kolkata!$A$10:$A$26=A14, Kolkata!$B$10:$B$26=B14, Kolkata!$D$10:$D$26=D14)"),25984.89)</f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57">
        <f>IFERROR(__xludf.DUMMYFUNCTION("FILTER(Kolkata!$F$10:$F$26, Kolkata!$A$10:$A$26=A15, Kolkata!$B$10:$B$26=B15, Kolkata!$D$10:$D$26=D15)"),200.0)</f>
        <v>200</v>
      </c>
      <c r="G15" s="104">
        <f>IFERROR(__xludf.DUMMYFUNCTION("FILTER(Kolkata!$G$10:$G$26, Kolkata!$A$10:$A$26=A15, Kolkata!$B$10:$B$26=B15, Kolkata!$D$10:$D$26=D15)"),18898.1)</f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57">
        <f>IFERROR(__xludf.DUMMYFUNCTION("FILTER(Kolkata!$F$10:$F$26, Kolkata!$A$10:$A$26=A16, Kolkata!$B$10:$B$26=B16, Kolkata!$D$10:$D$26=D16)"),425.0)</f>
        <v>425</v>
      </c>
      <c r="G16" s="104">
        <f>IFERROR(__xludf.DUMMYFUNCTION("FILTER(Kolkata!$G$10:$G$26, Kolkata!$A$10:$A$26=A16, Kolkata!$B$10:$B$26=B16, Kolkata!$D$10:$D$26=D16)"),40158.46)</f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57">
        <f>IFERROR(__xludf.DUMMYFUNCTION("FILTER(Kolkata!$F$10:$F$26, Kolkata!$A$10:$A$26=A17, Kolkata!$B$10:$B$26=B17, Kolkata!$D$10:$D$26=D17)"),312.5)</f>
        <v>312.5</v>
      </c>
      <c r="G17" s="104">
        <f>IFERROR(__xludf.DUMMYFUNCTION("FILTER(Kolkata!$G$10:$G$26, Kolkata!$A$10:$A$26=A17, Kolkata!$B$10:$B$26=B17, Kolkata!$D$10:$D$26=D17)"),29528.28)</f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57">
        <f>IFERROR(__xludf.DUMMYFUNCTION("FILTER(Kolkata!$F$10:$F$26, Kolkata!$A$10:$A$26=A18, Kolkata!$B$10:$B$26=B18, Kolkata!$D$10:$D$26=D18)"),68.75)</f>
        <v>68.75</v>
      </c>
      <c r="G18" s="104">
        <f>IFERROR(__xludf.DUMMYFUNCTION("FILTER(Kolkata!$G$10:$G$26, Kolkata!$A$10:$A$26=A18, Kolkata!$B$10:$B$26=B18, Kolkata!$D$10:$D$26=D18)"),6496.22)</f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57">
        <f>IFERROR(__xludf.DUMMYFUNCTION("FILTER(Kolkata!$F$10:$F$26, Kolkata!$A$10:$A$26=A19, Kolkata!$B$10:$B$26=B19, Kolkata!$D$10:$D$26=D19)"),68.75)</f>
        <v>68.75</v>
      </c>
      <c r="G19" s="104">
        <f>IFERROR(__xludf.DUMMYFUNCTION("FILTER(Kolkata!$G$10:$G$26, Kolkata!$A$10:$A$26=A19, Kolkata!$B$10:$B$26=B19, Kolkata!$D$10:$D$26=D19)"),6496.22)</f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57">
        <f>IFERROR(__xludf.DUMMYFUNCTION("FILTER(Kolkata!$F$10:$F$26, Kolkata!$A$10:$A$26=A20, Kolkata!$B$10:$B$26=B20, Kolkata!$D$10:$D$26=D20)"),56.25)</f>
        <v>56.25</v>
      </c>
      <c r="G20" s="104">
        <f>IFERROR(__xludf.DUMMYFUNCTION("FILTER(Kolkata!$G$10:$G$26, Kolkata!$A$10:$A$26=A20, Kolkata!$B$10:$B$26=B20, Kolkata!$D$10:$D$26=D20)"),5315.09)</f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57">
        <f>IFERROR(__xludf.DUMMYFUNCTION("FILTER(Kolkata!$F$10:$F$26, Kolkata!$A$10:$A$26=A21, Kolkata!$B$10:$B$26=B21, Kolkata!$D$10:$D$26=D21)"),237.5)</f>
        <v>237.5</v>
      </c>
      <c r="G21" s="104">
        <f>IFERROR(__xludf.DUMMYFUNCTION("FILTER(Kolkata!$G$10:$G$26, Kolkata!$A$10:$A$26=A21, Kolkata!$B$10:$B$26=B21, Kolkata!$D$10:$D$26=D21)"),22441.49)</f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57">
        <f>IFERROR(__xludf.DUMMYFUNCTION("FILTER(Kolkata!$F$10:$F$26, Kolkata!$A$10:$A$26=A22, Kolkata!$B$10:$B$26=B22, Kolkata!$D$10:$D$26=D22)"),56.25)</f>
        <v>56.25</v>
      </c>
      <c r="G22" s="104">
        <f>IFERROR(__xludf.DUMMYFUNCTION("FILTER(Kolkata!$G$10:$G$26, Kolkata!$A$10:$A$26=A22, Kolkata!$B$10:$B$26=B22, Kolkata!$D$10:$D$26=D22)"),5315.09)</f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57">
        <f>IFERROR(__xludf.DUMMYFUNCTION("FILTER(Kolkata!$F$10:$F$26, Kolkata!$A$10:$A$26=A23, Kolkata!$B$10:$B$26=B23, Kolkata!$D$10:$D$26=D23)"),22.5)</f>
        <v>22.5</v>
      </c>
      <c r="G23" s="104">
        <f>IFERROR(__xludf.DUMMYFUNCTION("FILTER(Kolkata!$G$10:$G$26, Kolkata!$A$10:$A$26=A23, Kolkata!$B$10:$B$26=B23, Kolkata!$D$10:$D$26=D23)"),2126.04)</f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57">
        <f>IFERROR(__xludf.DUMMYFUNCTION("FILTER(Kolkata!$F$10:$F$26, Kolkata!$A$10:$A$26=A24, Kolkata!$B$10:$B$26=B24, Kolkata!$D$10:$D$26=D24)"),31.25)</f>
        <v>31.25</v>
      </c>
      <c r="G24" s="104">
        <f>IFERROR(__xludf.DUMMYFUNCTION("FILTER(Kolkata!$G$10:$G$26, Kolkata!$A$10:$A$26=A24, Kolkata!$B$10:$B$26=B24, Kolkata!$D$10:$D$26=D24)"),2952.83)</f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57">
        <f>IFERROR(__xludf.DUMMYFUNCTION("FILTER(Kolkata!$F$10:$F$26, Kolkata!$A$10:$A$26=A25, Kolkata!$B$10:$B$26=B25, Kolkata!$D$10:$D$26=D25)"),10.0)</f>
        <v>10</v>
      </c>
      <c r="G25" s="104">
        <f>IFERROR(__xludf.DUMMYFUNCTION("FILTER(Kolkata!$G$10:$G$26, Kolkata!$A$10:$A$26=A25, Kolkata!$B$10:$B$26=B25, Kolkata!$D$10:$D$26=D25)"),944.91)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57">
        <f>IFERROR(__xludf.DUMMYFUNCTION("FILTER(Kolkata!$F$10:$F$26, Kolkata!$A$10:$A$26=A26, Kolkata!$B$10:$B$26=B26, Kolkata!$D$10:$D$26=D26)"),7.5)</f>
        <v>7.5</v>
      </c>
      <c r="G26" s="104">
        <f>IFERROR(__xludf.DUMMYFUNCTION("FILTER(Kolkata!$G$10:$G$26, Kolkata!$A$10:$A$26=A26, Kolkata!$B$10:$B$26=B26, Kolkata!$D$10:$D$26=D26)"),708.68)</f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793</v>
      </c>
      <c r="C29" s="21" t="s">
        <v>76</v>
      </c>
      <c r="D29" s="62">
        <v>5.0</v>
      </c>
      <c r="E29" s="105">
        <f t="shared" ref="E29:E42" si="1">ROUND(D29 * ($G$10 / $F$10), 2)</f>
        <v>472.45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794</v>
      </c>
      <c r="C30" s="25" t="s">
        <v>76</v>
      </c>
      <c r="D30" s="64">
        <v>2.0</v>
      </c>
      <c r="E30" s="106">
        <f t="shared" si="1"/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795</v>
      </c>
      <c r="C31" s="25" t="s">
        <v>76</v>
      </c>
      <c r="D31" s="64">
        <v>0.0</v>
      </c>
      <c r="E31" s="106">
        <f t="shared" si="1"/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796</v>
      </c>
      <c r="C32" s="25" t="s">
        <v>76</v>
      </c>
      <c r="D32" s="64">
        <v>0.0</v>
      </c>
      <c r="E32" s="106">
        <f t="shared" si="1"/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797</v>
      </c>
      <c r="C33" s="25" t="s">
        <v>76</v>
      </c>
      <c r="D33" s="64">
        <v>0.0</v>
      </c>
      <c r="E33" s="106">
        <f t="shared" si="1"/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798</v>
      </c>
      <c r="C34" s="25" t="s">
        <v>76</v>
      </c>
      <c r="D34" s="64">
        <v>0.0</v>
      </c>
      <c r="E34" s="106">
        <f t="shared" si="1"/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799</v>
      </c>
      <c r="C35" s="25" t="s">
        <v>76</v>
      </c>
      <c r="D35" s="64">
        <v>2.0</v>
      </c>
      <c r="E35" s="106">
        <f t="shared" si="1"/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800</v>
      </c>
      <c r="C36" s="25" t="s">
        <v>76</v>
      </c>
      <c r="D36" s="64">
        <v>2.0</v>
      </c>
      <c r="E36" s="106">
        <f t="shared" si="1"/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801</v>
      </c>
      <c r="C37" s="25" t="s">
        <v>76</v>
      </c>
      <c r="D37" s="64">
        <v>2.0</v>
      </c>
      <c r="E37" s="106">
        <f t="shared" si="1"/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802</v>
      </c>
      <c r="C38" s="25" t="s">
        <v>76</v>
      </c>
      <c r="D38" s="64">
        <v>0.0</v>
      </c>
      <c r="E38" s="106">
        <f t="shared" si="1"/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803</v>
      </c>
      <c r="C39" s="25" t="s">
        <v>76</v>
      </c>
      <c r="D39" s="64">
        <v>0.0</v>
      </c>
      <c r="E39" s="106">
        <f t="shared" si="1"/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804</v>
      </c>
      <c r="C40" s="25" t="s">
        <v>76</v>
      </c>
      <c r="D40" s="64">
        <v>0.0</v>
      </c>
      <c r="E40" s="106">
        <f t="shared" si="1"/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805</v>
      </c>
      <c r="C41" s="25" t="s">
        <v>76</v>
      </c>
      <c r="D41" s="64">
        <v>0.0</v>
      </c>
      <c r="E41" s="106">
        <f t="shared" si="1"/>
        <v>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37" t="s">
        <v>74</v>
      </c>
      <c r="B42" s="29" t="s">
        <v>806</v>
      </c>
      <c r="C42" s="37" t="s">
        <v>76</v>
      </c>
      <c r="D42" s="66">
        <v>0.0</v>
      </c>
      <c r="E42" s="107">
        <f t="shared" si="1"/>
        <v>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807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808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809</v>
      </c>
      <c r="C29" s="21" t="s">
        <v>76</v>
      </c>
      <c r="D29" s="23">
        <v>6.0</v>
      </c>
      <c r="E29" s="24">
        <v>566.94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810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812</v>
      </c>
      <c r="C31" s="25" t="s">
        <v>76</v>
      </c>
      <c r="D31" s="27">
        <v>6.0</v>
      </c>
      <c r="E31" s="28">
        <v>566.94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814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816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817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818</v>
      </c>
      <c r="C35" s="25" t="s">
        <v>76</v>
      </c>
      <c r="D35" s="27">
        <v>0.0</v>
      </c>
      <c r="E35" s="28">
        <v>0.0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820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821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822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823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824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811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813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49" t="s">
        <v>825</v>
      </c>
      <c r="C29" s="4" t="s">
        <v>76</v>
      </c>
      <c r="D29" s="14">
        <v>6.0</v>
      </c>
      <c r="E29" s="15">
        <v>566.94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49" t="s">
        <v>826</v>
      </c>
      <c r="C30" s="4" t="s">
        <v>76</v>
      </c>
      <c r="D30" s="14">
        <v>2.0</v>
      </c>
      <c r="E30" s="15">
        <v>188.98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49" t="s">
        <v>827</v>
      </c>
      <c r="C31" s="4" t="s">
        <v>76</v>
      </c>
      <c r="D31" s="14">
        <v>2.0</v>
      </c>
      <c r="E31" s="15">
        <v>188.98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49" t="s">
        <v>828</v>
      </c>
      <c r="C32" s="4" t="s">
        <v>76</v>
      </c>
      <c r="D32" s="14">
        <v>2.0</v>
      </c>
      <c r="E32" s="15">
        <v>188.98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49" t="s">
        <v>829</v>
      </c>
      <c r="C33" s="4" t="s">
        <v>76</v>
      </c>
      <c r="D33" s="14">
        <v>2.0</v>
      </c>
      <c r="E33" s="15">
        <v>188.98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49" t="s">
        <v>830</v>
      </c>
      <c r="C34" s="4" t="s">
        <v>76</v>
      </c>
      <c r="D34" s="14">
        <v>2.0</v>
      </c>
      <c r="E34" s="15">
        <v>188.98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49" t="s">
        <v>831</v>
      </c>
      <c r="C35" s="4" t="s">
        <v>76</v>
      </c>
      <c r="D35" s="14">
        <v>2.0</v>
      </c>
      <c r="E35" s="15">
        <v>188.98</v>
      </c>
    </row>
    <row r="36" ht="14.25" customHeight="1">
      <c r="A36" s="4" t="s">
        <v>74</v>
      </c>
      <c r="B36" s="49" t="s">
        <v>832</v>
      </c>
      <c r="C36" s="4" t="s">
        <v>76</v>
      </c>
      <c r="D36" s="14">
        <v>2.0</v>
      </c>
      <c r="E36" s="15">
        <v>188.98</v>
      </c>
    </row>
    <row r="37" ht="14.25" customHeight="1">
      <c r="A37" s="4" t="s">
        <v>74</v>
      </c>
      <c r="B37" s="49" t="s">
        <v>833</v>
      </c>
      <c r="C37" s="4" t="s">
        <v>76</v>
      </c>
      <c r="D37" s="14">
        <v>2.0</v>
      </c>
      <c r="E37" s="15">
        <v>188.98</v>
      </c>
    </row>
    <row r="38" ht="14.25" customHeight="1">
      <c r="A38" s="4" t="s">
        <v>74</v>
      </c>
      <c r="B38" s="49" t="s">
        <v>834</v>
      </c>
      <c r="C38" s="4" t="s">
        <v>76</v>
      </c>
      <c r="D38" s="14">
        <v>2.0</v>
      </c>
      <c r="E38" s="15">
        <v>188.98</v>
      </c>
    </row>
    <row r="39" ht="14.25" customHeight="1">
      <c r="A39" s="4" t="s">
        <v>74</v>
      </c>
      <c r="B39" s="49" t="s">
        <v>835</v>
      </c>
      <c r="C39" s="4" t="s">
        <v>76</v>
      </c>
      <c r="D39" s="14">
        <v>2.0</v>
      </c>
      <c r="E39" s="15">
        <v>188.98</v>
      </c>
    </row>
    <row r="40" ht="14.25" customHeight="1">
      <c r="A40" s="4" t="s">
        <v>74</v>
      </c>
      <c r="B40" s="49" t="s">
        <v>836</v>
      </c>
      <c r="C40" s="4" t="s">
        <v>76</v>
      </c>
      <c r="D40" s="14">
        <v>2.0</v>
      </c>
      <c r="E40" s="15">
        <v>188.98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815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819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837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838</v>
      </c>
      <c r="C30" s="25" t="s">
        <v>76</v>
      </c>
      <c r="D30" s="27">
        <v>0.0</v>
      </c>
      <c r="E30" s="28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839</v>
      </c>
      <c r="C31" s="25" t="s">
        <v>76</v>
      </c>
      <c r="D31" s="27">
        <v>0.0</v>
      </c>
      <c r="E31" s="28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840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841</v>
      </c>
      <c r="C33" s="25" t="s">
        <v>76</v>
      </c>
      <c r="D33" s="27">
        <v>6.0</v>
      </c>
      <c r="E33" s="28">
        <v>566.94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842</v>
      </c>
      <c r="C34" s="25" t="s">
        <v>76</v>
      </c>
      <c r="D34" s="27">
        <v>6.0</v>
      </c>
      <c r="E34" s="28">
        <v>566.94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843</v>
      </c>
      <c r="C35" s="25" t="s">
        <v>76</v>
      </c>
      <c r="D35" s="27">
        <v>3.0</v>
      </c>
      <c r="E35" s="28">
        <v>283.47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844</v>
      </c>
      <c r="C36" s="25" t="s">
        <v>76</v>
      </c>
      <c r="D36" s="27">
        <v>0.0</v>
      </c>
      <c r="E36" s="28">
        <v>0.0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9" t="s">
        <v>845</v>
      </c>
      <c r="C37" s="25" t="s">
        <v>76</v>
      </c>
      <c r="D37" s="27">
        <v>2.0</v>
      </c>
      <c r="E37" s="28">
        <v>188.98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B38" s="4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846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847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57">
        <f>IFERROR(__xludf.DUMMYFUNCTION("FILTER(Kolkata!$F$10:$F$26, Kolkata!$A$10:$A$26=A10, Kolkata!$B$10:$B$26=B10, Kolkata!$D$10:$D$26=D10)"),112.5)</f>
        <v>112.5</v>
      </c>
      <c r="G10" s="104">
        <f>IFERROR(__xludf.DUMMYFUNCTION("FILTER(Kolkata!$G$10:$G$26, Kolkata!$A$10:$A$26=A10, Kolkata!$B$10:$B$26=B10, Kolkata!$D$10:$D$26=D10)"),10630.18)</f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57">
        <f>IFERROR(__xludf.DUMMYFUNCTION("FILTER(Kolkata!$F$10:$F$26, Kolkata!$A$10:$A$26=A11, Kolkata!$B$10:$B$26=B11, Kolkata!$D$10:$D$26=D11)"),81.25)</f>
        <v>81.25</v>
      </c>
      <c r="G11" s="104">
        <f>IFERROR(__xludf.DUMMYFUNCTION("FILTER(Kolkata!$G$10:$G$26, Kolkata!$A$10:$A$26=A11, Kolkata!$B$10:$B$26=B11, Kolkata!$D$10:$D$26=D11)"),7677.35)</f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57">
        <f>IFERROR(__xludf.DUMMYFUNCTION("FILTER(Kolkata!$F$10:$F$26, Kolkata!$A$10:$A$26=A12, Kolkata!$B$10:$B$26=B12, Kolkata!$D$10:$D$26=D12)"),168.75)</f>
        <v>168.75</v>
      </c>
      <c r="G12" s="104">
        <f>IFERROR(__xludf.DUMMYFUNCTION("FILTER(Kolkata!$G$10:$G$26, Kolkata!$A$10:$A$26=A12, Kolkata!$B$10:$B$26=B12, Kolkata!$D$10:$D$26=D12)"),15945.27)</f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57">
        <f>IFERROR(__xludf.DUMMYFUNCTION("FILTER(Kolkata!$F$10:$F$26, Kolkata!$A$10:$A$26=A13, Kolkata!$B$10:$B$26=B13, Kolkata!$D$10:$D$26=D13)"),118.75)</f>
        <v>118.75</v>
      </c>
      <c r="G13" s="104">
        <f>IFERROR(__xludf.DUMMYFUNCTION("FILTER(Kolkata!$G$10:$G$26, Kolkata!$A$10:$A$26=A13, Kolkata!$B$10:$B$26=B13, Kolkata!$D$10:$D$26=D13)"),11220.75)</f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57">
        <f>IFERROR(__xludf.DUMMYFUNCTION("FILTER(Kolkata!$F$10:$F$26, Kolkata!$A$10:$A$26=A14, Kolkata!$B$10:$B$26=B14, Kolkata!$D$10:$D$26=D14)"),275.0)</f>
        <v>275</v>
      </c>
      <c r="G14" s="104">
        <f>IFERROR(__xludf.DUMMYFUNCTION("FILTER(Kolkata!$G$10:$G$26, Kolkata!$A$10:$A$26=A14, Kolkata!$B$10:$B$26=B14, Kolkata!$D$10:$D$26=D14)"),25984.89)</f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57">
        <f>IFERROR(__xludf.DUMMYFUNCTION("FILTER(Kolkata!$F$10:$F$26, Kolkata!$A$10:$A$26=A15, Kolkata!$B$10:$B$26=B15, Kolkata!$D$10:$D$26=D15)"),200.0)</f>
        <v>200</v>
      </c>
      <c r="G15" s="104">
        <f>IFERROR(__xludf.DUMMYFUNCTION("FILTER(Kolkata!$G$10:$G$26, Kolkata!$A$10:$A$26=A15, Kolkata!$B$10:$B$26=B15, Kolkata!$D$10:$D$26=D15)"),18898.1)</f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57">
        <f>IFERROR(__xludf.DUMMYFUNCTION("FILTER(Kolkata!$F$10:$F$26, Kolkata!$A$10:$A$26=A16, Kolkata!$B$10:$B$26=B16, Kolkata!$D$10:$D$26=D16)"),425.0)</f>
        <v>425</v>
      </c>
      <c r="G16" s="104">
        <f>IFERROR(__xludf.DUMMYFUNCTION("FILTER(Kolkata!$G$10:$G$26, Kolkata!$A$10:$A$26=A16, Kolkata!$B$10:$B$26=B16, Kolkata!$D$10:$D$26=D16)"),40158.46)</f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57">
        <f>IFERROR(__xludf.DUMMYFUNCTION("FILTER(Kolkata!$F$10:$F$26, Kolkata!$A$10:$A$26=A17, Kolkata!$B$10:$B$26=B17, Kolkata!$D$10:$D$26=D17)"),312.5)</f>
        <v>312.5</v>
      </c>
      <c r="G17" s="104">
        <f>IFERROR(__xludf.DUMMYFUNCTION("FILTER(Kolkata!$G$10:$G$26, Kolkata!$A$10:$A$26=A17, Kolkata!$B$10:$B$26=B17, Kolkata!$D$10:$D$26=D17)"),29528.28)</f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57">
        <f>IFERROR(__xludf.DUMMYFUNCTION("FILTER(Kolkata!$F$10:$F$26, Kolkata!$A$10:$A$26=A18, Kolkata!$B$10:$B$26=B18, Kolkata!$D$10:$D$26=D18)"),68.75)</f>
        <v>68.75</v>
      </c>
      <c r="G18" s="104">
        <f>IFERROR(__xludf.DUMMYFUNCTION("FILTER(Kolkata!$G$10:$G$26, Kolkata!$A$10:$A$26=A18, Kolkata!$B$10:$B$26=B18, Kolkata!$D$10:$D$26=D18)"),6496.22)</f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57">
        <f>IFERROR(__xludf.DUMMYFUNCTION("FILTER(Kolkata!$F$10:$F$26, Kolkata!$A$10:$A$26=A19, Kolkata!$B$10:$B$26=B19, Kolkata!$D$10:$D$26=D19)"),68.75)</f>
        <v>68.75</v>
      </c>
      <c r="G19" s="104">
        <f>IFERROR(__xludf.DUMMYFUNCTION("FILTER(Kolkata!$G$10:$G$26, Kolkata!$A$10:$A$26=A19, Kolkata!$B$10:$B$26=B19, Kolkata!$D$10:$D$26=D19)"),6496.22)</f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57">
        <f>IFERROR(__xludf.DUMMYFUNCTION("FILTER(Kolkata!$F$10:$F$26, Kolkata!$A$10:$A$26=A20, Kolkata!$B$10:$B$26=B20, Kolkata!$D$10:$D$26=D20)"),56.25)</f>
        <v>56.25</v>
      </c>
      <c r="G20" s="104">
        <f>IFERROR(__xludf.DUMMYFUNCTION("FILTER(Kolkata!$G$10:$G$26, Kolkata!$A$10:$A$26=A20, Kolkata!$B$10:$B$26=B20, Kolkata!$D$10:$D$26=D20)"),5315.09)</f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57">
        <f>IFERROR(__xludf.DUMMYFUNCTION("FILTER(Kolkata!$F$10:$F$26, Kolkata!$A$10:$A$26=A21, Kolkata!$B$10:$B$26=B21, Kolkata!$D$10:$D$26=D21)"),237.5)</f>
        <v>237.5</v>
      </c>
      <c r="G21" s="104">
        <f>IFERROR(__xludf.DUMMYFUNCTION("FILTER(Kolkata!$G$10:$G$26, Kolkata!$A$10:$A$26=A21, Kolkata!$B$10:$B$26=B21, Kolkata!$D$10:$D$26=D21)"),22441.49)</f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57">
        <f>IFERROR(__xludf.DUMMYFUNCTION("FILTER(Kolkata!$F$10:$F$26, Kolkata!$A$10:$A$26=A22, Kolkata!$B$10:$B$26=B22, Kolkata!$D$10:$D$26=D22)"),56.25)</f>
        <v>56.25</v>
      </c>
      <c r="G22" s="104">
        <f>IFERROR(__xludf.DUMMYFUNCTION("FILTER(Kolkata!$G$10:$G$26, Kolkata!$A$10:$A$26=A22, Kolkata!$B$10:$B$26=B22, Kolkata!$D$10:$D$26=D22)"),5315.09)</f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57">
        <f>IFERROR(__xludf.DUMMYFUNCTION("FILTER(Kolkata!$F$10:$F$26, Kolkata!$A$10:$A$26=A23, Kolkata!$B$10:$B$26=B23, Kolkata!$D$10:$D$26=D23)"),22.5)</f>
        <v>22.5</v>
      </c>
      <c r="G23" s="104">
        <f>IFERROR(__xludf.DUMMYFUNCTION("FILTER(Kolkata!$G$10:$G$26, Kolkata!$A$10:$A$26=A23, Kolkata!$B$10:$B$26=B23, Kolkata!$D$10:$D$26=D23)"),2126.04)</f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57">
        <f>IFERROR(__xludf.DUMMYFUNCTION("FILTER(Kolkata!$F$10:$F$26, Kolkata!$A$10:$A$26=A24, Kolkata!$B$10:$B$26=B24, Kolkata!$D$10:$D$26=D24)"),31.25)</f>
        <v>31.25</v>
      </c>
      <c r="G24" s="104">
        <f>IFERROR(__xludf.DUMMYFUNCTION("FILTER(Kolkata!$G$10:$G$26, Kolkata!$A$10:$A$26=A24, Kolkata!$B$10:$B$26=B24, Kolkata!$D$10:$D$26=D24)"),2952.83)</f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57">
        <f>IFERROR(__xludf.DUMMYFUNCTION("FILTER(Kolkata!$F$10:$F$26, Kolkata!$A$10:$A$26=A25, Kolkata!$B$10:$B$26=B25, Kolkata!$D$10:$D$26=D25)"),10.0)</f>
        <v>10</v>
      </c>
      <c r="G25" s="104">
        <f>IFERROR(__xludf.DUMMYFUNCTION("FILTER(Kolkata!$G$10:$G$26, Kolkata!$A$10:$A$26=A25, Kolkata!$B$10:$B$26=B25, Kolkata!$D$10:$D$26=D25)"),944.91)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57">
        <f>IFERROR(__xludf.DUMMYFUNCTION("FILTER(Kolkata!$F$10:$F$26, Kolkata!$A$10:$A$26=A26, Kolkata!$B$10:$B$26=B26, Kolkata!$D$10:$D$26=D26)"),7.5)</f>
        <v>7.5</v>
      </c>
      <c r="G26" s="104">
        <f>IFERROR(__xludf.DUMMYFUNCTION("FILTER(Kolkata!$G$10:$G$26, Kolkata!$A$10:$A$26=A26, Kolkata!$B$10:$B$26=B26, Kolkata!$D$10:$D$26=D26)"),708.68)</f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859</v>
      </c>
      <c r="C29" s="21" t="s">
        <v>76</v>
      </c>
      <c r="D29" s="62">
        <v>0.0</v>
      </c>
      <c r="E29" s="105">
        <f t="shared" ref="E29:E42" si="1">ROUND(D29 * ($G$10 / $F$10), 2)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860</v>
      </c>
      <c r="C30" s="25" t="s">
        <v>76</v>
      </c>
      <c r="D30" s="64">
        <v>2.0</v>
      </c>
      <c r="E30" s="106">
        <f t="shared" si="1"/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861</v>
      </c>
      <c r="C31" s="25" t="s">
        <v>76</v>
      </c>
      <c r="D31" s="64">
        <v>0.0</v>
      </c>
      <c r="E31" s="106">
        <f t="shared" si="1"/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862</v>
      </c>
      <c r="C32" s="25" t="s">
        <v>76</v>
      </c>
      <c r="D32" s="64">
        <v>0.0</v>
      </c>
      <c r="E32" s="106">
        <f t="shared" si="1"/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863</v>
      </c>
      <c r="C33" s="25" t="s">
        <v>76</v>
      </c>
      <c r="D33" s="64">
        <v>0.0</v>
      </c>
      <c r="E33" s="106">
        <f t="shared" si="1"/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864</v>
      </c>
      <c r="C34" s="25" t="s">
        <v>76</v>
      </c>
      <c r="D34" s="64">
        <v>2.0</v>
      </c>
      <c r="E34" s="106">
        <f t="shared" si="1"/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865</v>
      </c>
      <c r="C35" s="25" t="s">
        <v>76</v>
      </c>
      <c r="D35" s="64">
        <v>0.0</v>
      </c>
      <c r="E35" s="106">
        <f t="shared" si="1"/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866</v>
      </c>
      <c r="C36" s="25" t="s">
        <v>76</v>
      </c>
      <c r="D36" s="64">
        <v>0.0</v>
      </c>
      <c r="E36" s="106">
        <f t="shared" si="1"/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867</v>
      </c>
      <c r="C37" s="25" t="s">
        <v>76</v>
      </c>
      <c r="D37" s="64">
        <v>2.0</v>
      </c>
      <c r="E37" s="106">
        <f t="shared" si="1"/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868</v>
      </c>
      <c r="C38" s="25" t="s">
        <v>76</v>
      </c>
      <c r="D38" s="64">
        <v>0.0</v>
      </c>
      <c r="E38" s="106">
        <f t="shared" si="1"/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869</v>
      </c>
      <c r="C39" s="25" t="s">
        <v>76</v>
      </c>
      <c r="D39" s="64">
        <v>2.0</v>
      </c>
      <c r="E39" s="106">
        <f t="shared" si="1"/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871</v>
      </c>
      <c r="C40" s="25" t="s">
        <v>76</v>
      </c>
      <c r="D40" s="64">
        <v>0.0</v>
      </c>
      <c r="E40" s="106">
        <f t="shared" si="1"/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872</v>
      </c>
      <c r="C41" s="25" t="s">
        <v>76</v>
      </c>
      <c r="D41" s="64">
        <v>0.0</v>
      </c>
      <c r="E41" s="106">
        <f t="shared" si="1"/>
        <v>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37" t="s">
        <v>74</v>
      </c>
      <c r="B42" s="29" t="s">
        <v>874</v>
      </c>
      <c r="C42" s="37" t="s">
        <v>76</v>
      </c>
      <c r="D42" s="66">
        <v>0.0</v>
      </c>
      <c r="E42" s="107">
        <f t="shared" si="1"/>
        <v>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848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849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850</v>
      </c>
      <c r="C29" s="21" t="s">
        <v>76</v>
      </c>
      <c r="D29" s="23">
        <v>3.0</v>
      </c>
      <c r="E29" s="24">
        <v>283.47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851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852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853</v>
      </c>
      <c r="C32" s="25" t="s">
        <v>76</v>
      </c>
      <c r="D32" s="27">
        <v>0.0</v>
      </c>
      <c r="E32" s="28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854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855</v>
      </c>
      <c r="C34" s="25" t="s">
        <v>76</v>
      </c>
      <c r="D34" s="27">
        <v>3.0</v>
      </c>
      <c r="E34" s="28">
        <v>283.47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856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857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9" t="s">
        <v>858</v>
      </c>
      <c r="C37" s="25" t="s">
        <v>76</v>
      </c>
      <c r="D37" s="27">
        <v>2.0</v>
      </c>
      <c r="E37" s="28">
        <v>188.98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7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870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873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875</v>
      </c>
      <c r="C29" s="21" t="s">
        <v>76</v>
      </c>
      <c r="D29" s="23">
        <v>2.0</v>
      </c>
      <c r="E29" s="24">
        <v>188.98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876</v>
      </c>
      <c r="C30" s="25" t="s">
        <v>76</v>
      </c>
      <c r="D30" s="27">
        <v>2.0</v>
      </c>
      <c r="E30" s="28">
        <v>188.98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877</v>
      </c>
      <c r="C31" s="25" t="s">
        <v>76</v>
      </c>
      <c r="D31" s="27">
        <v>2.0</v>
      </c>
      <c r="E31" s="28">
        <v>188.98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878</v>
      </c>
      <c r="C32" s="25" t="s">
        <v>76</v>
      </c>
      <c r="D32" s="27">
        <v>2.0</v>
      </c>
      <c r="E32" s="28">
        <v>188.98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879</v>
      </c>
      <c r="C33" s="25" t="s">
        <v>76</v>
      </c>
      <c r="D33" s="27">
        <v>2.0</v>
      </c>
      <c r="E33" s="28">
        <v>188.98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881</v>
      </c>
      <c r="C34" s="25" t="s">
        <v>76</v>
      </c>
      <c r="D34" s="27">
        <v>2.0</v>
      </c>
      <c r="E34" s="28">
        <v>188.98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882</v>
      </c>
      <c r="C35" s="25" t="s">
        <v>76</v>
      </c>
      <c r="D35" s="27">
        <v>2.0</v>
      </c>
      <c r="E35" s="28">
        <v>188.98</v>
      </c>
    </row>
    <row r="36" ht="14.25" customHeight="1">
      <c r="A36" s="25" t="s">
        <v>74</v>
      </c>
      <c r="B36" s="26" t="s">
        <v>883</v>
      </c>
      <c r="C36" s="25" t="s">
        <v>76</v>
      </c>
      <c r="D36" s="27">
        <v>2.0</v>
      </c>
      <c r="E36" s="28">
        <v>188.98</v>
      </c>
    </row>
    <row r="37" ht="14.25" customHeight="1">
      <c r="A37" s="25" t="s">
        <v>74</v>
      </c>
      <c r="B37" s="29" t="s">
        <v>884</v>
      </c>
      <c r="C37" s="25" t="s">
        <v>76</v>
      </c>
      <c r="D37" s="27">
        <v>2.0</v>
      </c>
      <c r="E37" s="28">
        <v>188.98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7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880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885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886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887</v>
      </c>
      <c r="C30" s="25" t="s">
        <v>76</v>
      </c>
      <c r="D30" s="27">
        <v>3.0</v>
      </c>
      <c r="E30" s="28">
        <v>283.47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888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889</v>
      </c>
      <c r="C32" s="25" t="s">
        <v>76</v>
      </c>
      <c r="D32" s="27">
        <v>6.0</v>
      </c>
      <c r="E32" s="28">
        <v>566.94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890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892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894</v>
      </c>
      <c r="C35" s="25" t="s">
        <v>76</v>
      </c>
      <c r="D35" s="27">
        <v>6.0</v>
      </c>
      <c r="E35" s="28">
        <v>566.94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9" t="s">
        <v>896</v>
      </c>
      <c r="C36" s="25" t="s">
        <v>76</v>
      </c>
      <c r="D36" s="27">
        <v>0.0</v>
      </c>
      <c r="E36" s="28">
        <v>0.0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6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891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893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898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899</v>
      </c>
      <c r="C30" s="25" t="s">
        <v>76</v>
      </c>
      <c r="D30" s="27">
        <v>5.0</v>
      </c>
      <c r="E30" s="28">
        <v>472.45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900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902</v>
      </c>
      <c r="C32" s="25" t="s">
        <v>76</v>
      </c>
      <c r="D32" s="27">
        <v>0.0</v>
      </c>
      <c r="E32" s="28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904</v>
      </c>
      <c r="C33" s="37" t="s">
        <v>76</v>
      </c>
      <c r="D33" s="39">
        <v>2.0</v>
      </c>
      <c r="E33" s="40">
        <v>188.98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895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897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901</v>
      </c>
      <c r="C29" s="21" t="s">
        <v>76</v>
      </c>
      <c r="D29" s="23">
        <v>2.0</v>
      </c>
      <c r="E29" s="24">
        <v>188.98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903</v>
      </c>
      <c r="C30" s="25" t="s">
        <v>76</v>
      </c>
      <c r="D30" s="27">
        <v>40.0</v>
      </c>
      <c r="E30" s="28">
        <v>3779.62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905</v>
      </c>
      <c r="C31" s="25" t="s">
        <v>76</v>
      </c>
      <c r="D31" s="27">
        <v>2.0</v>
      </c>
      <c r="E31" s="28">
        <v>188.98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906</v>
      </c>
      <c r="C32" s="25" t="s">
        <v>76</v>
      </c>
      <c r="D32" s="27">
        <v>2.0</v>
      </c>
      <c r="E32" s="28">
        <v>188.98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907</v>
      </c>
      <c r="C33" s="25" t="s">
        <v>76</v>
      </c>
      <c r="D33" s="27">
        <v>2.0</v>
      </c>
      <c r="E33" s="28">
        <v>188.98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908</v>
      </c>
      <c r="C34" s="25" t="s">
        <v>76</v>
      </c>
      <c r="D34" s="27">
        <v>2.0</v>
      </c>
      <c r="E34" s="28">
        <v>188.98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909</v>
      </c>
      <c r="C35" s="25" t="s">
        <v>76</v>
      </c>
      <c r="D35" s="27">
        <v>2.0</v>
      </c>
      <c r="E35" s="28">
        <v>188.98</v>
      </c>
    </row>
    <row r="36" ht="14.25" customHeight="1">
      <c r="A36" s="25" t="s">
        <v>74</v>
      </c>
      <c r="B36" s="26" t="s">
        <v>910</v>
      </c>
      <c r="C36" s="25" t="s">
        <v>76</v>
      </c>
      <c r="D36" s="27">
        <v>0.0</v>
      </c>
      <c r="E36" s="28">
        <v>0.0</v>
      </c>
    </row>
    <row r="37" ht="14.25" customHeight="1">
      <c r="A37" s="25" t="s">
        <v>74</v>
      </c>
      <c r="B37" s="26" t="s">
        <v>911</v>
      </c>
      <c r="C37" s="25" t="s">
        <v>76</v>
      </c>
      <c r="D37" s="27">
        <v>2.0</v>
      </c>
      <c r="E37" s="28">
        <v>188.98</v>
      </c>
    </row>
    <row r="38" ht="14.25" customHeight="1">
      <c r="A38" s="25" t="s">
        <v>74</v>
      </c>
      <c r="B38" s="29" t="s">
        <v>912</v>
      </c>
      <c r="C38" s="25" t="s">
        <v>76</v>
      </c>
      <c r="D38" s="27">
        <v>2.0</v>
      </c>
      <c r="E38" s="28">
        <v>188.98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913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914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915</v>
      </c>
      <c r="C29" s="21" t="s">
        <v>76</v>
      </c>
      <c r="D29" s="23">
        <v>0.0</v>
      </c>
      <c r="E29" s="24">
        <v>0.0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916</v>
      </c>
      <c r="C30" s="25" t="s">
        <v>76</v>
      </c>
      <c r="D30" s="27">
        <v>2.0</v>
      </c>
      <c r="E30" s="28">
        <v>188.98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917</v>
      </c>
      <c r="C31" s="25" t="s">
        <v>76</v>
      </c>
      <c r="D31" s="27">
        <v>2.0</v>
      </c>
      <c r="E31" s="28">
        <v>188.98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918</v>
      </c>
      <c r="C32" s="25" t="s">
        <v>76</v>
      </c>
      <c r="D32" s="27">
        <v>2.0</v>
      </c>
      <c r="E32" s="28">
        <v>188.98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919</v>
      </c>
      <c r="C33" s="25" t="s">
        <v>76</v>
      </c>
      <c r="D33" s="27">
        <v>2.0</v>
      </c>
      <c r="E33" s="28">
        <v>188.98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920</v>
      </c>
      <c r="C34" s="25" t="s">
        <v>76</v>
      </c>
      <c r="D34" s="27">
        <v>2.0</v>
      </c>
      <c r="E34" s="28">
        <v>188.98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921</v>
      </c>
      <c r="C35" s="25" t="s">
        <v>76</v>
      </c>
      <c r="D35" s="27">
        <v>2.0</v>
      </c>
      <c r="E35" s="28">
        <v>188.98</v>
      </c>
    </row>
    <row r="36" ht="14.25" customHeight="1">
      <c r="A36" s="25" t="s">
        <v>74</v>
      </c>
      <c r="B36" s="29" t="s">
        <v>922</v>
      </c>
      <c r="C36" s="25" t="s">
        <v>76</v>
      </c>
      <c r="D36" s="27">
        <v>2.0</v>
      </c>
      <c r="E36" s="28">
        <v>188.98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6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923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924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925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928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929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930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931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932</v>
      </c>
      <c r="C34" s="25" t="s">
        <v>76</v>
      </c>
      <c r="D34" s="27">
        <v>3.0</v>
      </c>
      <c r="E34" s="28">
        <v>283.47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933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934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935</v>
      </c>
      <c r="C37" s="25" t="s">
        <v>76</v>
      </c>
      <c r="D37" s="27">
        <v>3.0</v>
      </c>
      <c r="E37" s="28">
        <v>283.47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936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937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938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926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927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939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940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941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942</v>
      </c>
      <c r="C32" s="37" t="s">
        <v>76</v>
      </c>
      <c r="D32" s="39">
        <v>2.0</v>
      </c>
      <c r="E32" s="40">
        <v>188.98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943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944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947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948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949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950</v>
      </c>
      <c r="C32" s="25" t="s">
        <v>76</v>
      </c>
      <c r="D32" s="27">
        <v>6.0</v>
      </c>
      <c r="E32" s="28">
        <v>566.94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951</v>
      </c>
      <c r="C33" s="37" t="s">
        <v>76</v>
      </c>
      <c r="D33" s="39">
        <v>2.0</v>
      </c>
      <c r="E33" s="40">
        <v>188.98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945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946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952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953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954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955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956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957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958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959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960</v>
      </c>
      <c r="C37" s="25" t="s">
        <v>76</v>
      </c>
      <c r="D37" s="27">
        <v>0.0</v>
      </c>
      <c r="E37" s="28">
        <v>0.0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961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962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963</v>
      </c>
      <c r="C40" s="37" t="s">
        <v>76</v>
      </c>
      <c r="D40" s="39">
        <v>3.0</v>
      </c>
      <c r="E40" s="40">
        <v>283.47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964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965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966</v>
      </c>
      <c r="C29" s="21" t="s">
        <v>76</v>
      </c>
      <c r="D29" s="23">
        <v>6.0</v>
      </c>
      <c r="E29" s="24">
        <v>566.94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967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968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969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970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971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972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973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975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976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977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979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974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978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980</v>
      </c>
      <c r="C29" s="21" t="s">
        <v>76</v>
      </c>
      <c r="D29" s="23">
        <v>2.0</v>
      </c>
      <c r="E29" s="24">
        <v>188.98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981</v>
      </c>
      <c r="C30" s="25" t="s">
        <v>76</v>
      </c>
      <c r="D30" s="27">
        <v>2.0</v>
      </c>
      <c r="E30" s="28">
        <v>188.98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982</v>
      </c>
      <c r="C31" s="25" t="s">
        <v>76</v>
      </c>
      <c r="D31" s="27">
        <v>0.0</v>
      </c>
      <c r="E31" s="28">
        <v>0.0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983</v>
      </c>
      <c r="C32" s="25" t="s">
        <v>76</v>
      </c>
      <c r="D32" s="27">
        <v>2.0</v>
      </c>
      <c r="E32" s="28">
        <v>188.98</v>
      </c>
      <c r="F32" s="90"/>
      <c r="G32" s="91"/>
      <c r="H32" s="91"/>
      <c r="I32" s="25" t="s">
        <v>78</v>
      </c>
    </row>
    <row r="33" ht="14.25" customHeight="1">
      <c r="A33" s="25" t="s">
        <v>74</v>
      </c>
      <c r="B33" s="89" t="s">
        <v>984</v>
      </c>
      <c r="C33" s="25" t="s">
        <v>76</v>
      </c>
      <c r="D33" s="27">
        <v>5.0</v>
      </c>
      <c r="E33" s="28">
        <v>472.45</v>
      </c>
      <c r="F33" s="90"/>
      <c r="G33" s="91"/>
      <c r="H33" s="91"/>
      <c r="I33" s="25" t="s">
        <v>78</v>
      </c>
    </row>
    <row r="34" ht="14.25" customHeight="1">
      <c r="A34" s="25" t="s">
        <v>74</v>
      </c>
      <c r="B34" s="89" t="s">
        <v>985</v>
      </c>
      <c r="C34" s="25" t="s">
        <v>76</v>
      </c>
      <c r="D34" s="27">
        <v>5.0</v>
      </c>
      <c r="E34" s="28">
        <v>472.45</v>
      </c>
      <c r="F34" s="90"/>
      <c r="G34" s="91"/>
      <c r="H34" s="91"/>
      <c r="I34" s="25" t="s">
        <v>78</v>
      </c>
    </row>
    <row r="35" ht="14.25" customHeight="1">
      <c r="A35" s="92" t="s">
        <v>74</v>
      </c>
      <c r="B35" s="93" t="s">
        <v>986</v>
      </c>
      <c r="C35" s="92" t="s">
        <v>76</v>
      </c>
      <c r="D35" s="27">
        <v>2.0</v>
      </c>
      <c r="E35" s="28">
        <v>188.98</v>
      </c>
      <c r="F35" s="94"/>
      <c r="G35" s="94"/>
      <c r="H35" s="94"/>
      <c r="I35" s="94"/>
    </row>
    <row r="36" ht="14.25" customHeight="1">
      <c r="A36" s="92" t="s">
        <v>74</v>
      </c>
      <c r="B36" s="96" t="s">
        <v>988</v>
      </c>
      <c r="C36" s="92" t="s">
        <v>76</v>
      </c>
      <c r="D36" s="27">
        <v>2.0</v>
      </c>
      <c r="E36" s="28">
        <v>188.98</v>
      </c>
      <c r="F36" s="97"/>
      <c r="G36" s="97"/>
      <c r="H36" s="97"/>
      <c r="I36" s="97"/>
    </row>
    <row r="37" ht="14.25" customHeight="1">
      <c r="A37" s="73"/>
      <c r="B37" s="125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987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989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49" t="s">
        <v>990</v>
      </c>
      <c r="C29" s="4" t="s">
        <v>76</v>
      </c>
      <c r="D29" s="14">
        <v>6.0</v>
      </c>
      <c r="E29" s="15">
        <v>566.94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49" t="s">
        <v>991</v>
      </c>
      <c r="C30" s="4" t="s">
        <v>76</v>
      </c>
      <c r="D30" s="14">
        <v>2.0</v>
      </c>
      <c r="E30" s="15">
        <v>188.98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49" t="s">
        <v>992</v>
      </c>
      <c r="C31" s="4" t="s">
        <v>76</v>
      </c>
      <c r="D31" s="14">
        <v>2.0</v>
      </c>
      <c r="E31" s="15">
        <v>188.98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49" t="s">
        <v>993</v>
      </c>
      <c r="C32" s="4" t="s">
        <v>76</v>
      </c>
      <c r="D32" s="14">
        <v>6.0</v>
      </c>
      <c r="E32" s="15">
        <v>566.94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49" t="s">
        <v>994</v>
      </c>
      <c r="C33" s="4" t="s">
        <v>76</v>
      </c>
      <c r="D33" s="14">
        <v>2.0</v>
      </c>
      <c r="E33" s="15">
        <v>188.98</v>
      </c>
      <c r="F33" s="19"/>
      <c r="G33" s="4"/>
      <c r="H33" s="4"/>
      <c r="I33" s="4" t="s">
        <v>78</v>
      </c>
    </row>
    <row r="34" ht="14.25" customHeight="1">
      <c r="A34" s="21" t="s">
        <v>74</v>
      </c>
      <c r="B34" s="22" t="s">
        <v>995</v>
      </c>
      <c r="C34" s="21" t="s">
        <v>76</v>
      </c>
      <c r="D34" s="23">
        <v>2.0</v>
      </c>
      <c r="E34" s="24">
        <v>188.98</v>
      </c>
      <c r="F34" s="38"/>
      <c r="G34" s="21"/>
      <c r="H34" s="21"/>
      <c r="I34" s="21" t="s">
        <v>78</v>
      </c>
    </row>
    <row r="35" ht="14.25" customHeight="1">
      <c r="A35" s="21" t="s">
        <v>74</v>
      </c>
      <c r="B35" s="26" t="s">
        <v>997</v>
      </c>
      <c r="C35" s="21" t="s">
        <v>76</v>
      </c>
      <c r="D35" s="23">
        <v>2.0</v>
      </c>
      <c r="E35" s="24">
        <v>188.98</v>
      </c>
      <c r="F35" s="45"/>
      <c r="G35" s="45"/>
      <c r="H35" s="45"/>
      <c r="I35" s="45"/>
    </row>
    <row r="36" ht="14.25" customHeight="1">
      <c r="A36" s="21" t="s">
        <v>74</v>
      </c>
      <c r="B36" s="26" t="s">
        <v>999</v>
      </c>
      <c r="C36" s="21" t="s">
        <v>76</v>
      </c>
      <c r="D36" s="23">
        <v>2.0</v>
      </c>
      <c r="E36" s="24">
        <v>188.98</v>
      </c>
      <c r="F36" s="45"/>
      <c r="G36" s="45"/>
      <c r="H36" s="45"/>
      <c r="I36" s="45"/>
    </row>
    <row r="37" ht="14.25" customHeight="1">
      <c r="A37" s="21" t="s">
        <v>74</v>
      </c>
      <c r="B37" s="26" t="s">
        <v>1000</v>
      </c>
      <c r="C37" s="21" t="s">
        <v>76</v>
      </c>
      <c r="D37" s="23">
        <v>6.0</v>
      </c>
      <c r="E37" s="24">
        <v>566.94</v>
      </c>
      <c r="F37" s="45"/>
      <c r="G37" s="45"/>
      <c r="H37" s="45"/>
      <c r="I37" s="45"/>
    </row>
    <row r="38" ht="14.25" customHeight="1">
      <c r="A38" s="21" t="s">
        <v>74</v>
      </c>
      <c r="B38" s="26" t="s">
        <v>1001</v>
      </c>
      <c r="C38" s="21" t="s">
        <v>76</v>
      </c>
      <c r="D38" s="23">
        <v>3.0</v>
      </c>
      <c r="E38" s="24">
        <v>283.47</v>
      </c>
      <c r="F38" s="45"/>
      <c r="G38" s="45"/>
      <c r="H38" s="45"/>
      <c r="I38" s="45"/>
    </row>
    <row r="39" ht="14.25" customHeight="1">
      <c r="A39" s="21" t="s">
        <v>74</v>
      </c>
      <c r="B39" s="26" t="s">
        <v>1003</v>
      </c>
      <c r="C39" s="21" t="s">
        <v>76</v>
      </c>
      <c r="D39" s="23">
        <v>2.0</v>
      </c>
      <c r="E39" s="24">
        <v>188.98</v>
      </c>
      <c r="F39" s="45"/>
      <c r="G39" s="45"/>
      <c r="H39" s="45"/>
      <c r="I39" s="45"/>
    </row>
    <row r="40" ht="14.25" customHeight="1">
      <c r="A40" s="30"/>
      <c r="B40" s="31"/>
      <c r="C40" s="30"/>
      <c r="D40" s="30"/>
      <c r="E40" s="30"/>
      <c r="F40" s="30"/>
      <c r="G40" s="30"/>
      <c r="H40" s="30"/>
      <c r="I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1002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1004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57">
        <f>IFERROR(__xludf.DUMMYFUNCTION("FILTER(Kolkata!$F$10:$F$26, Kolkata!$A$10:$A$26=A10, Kolkata!$B$10:$B$26=B10, Kolkata!$D$10:$D$26=D10)"),112.5)</f>
        <v>112.5</v>
      </c>
      <c r="G10" s="104">
        <f>IFERROR(__xludf.DUMMYFUNCTION("FILTER(Kolkata!$G$10:$G$26, Kolkata!$A$10:$A$26=A10, Kolkata!$B$10:$B$26=B10, Kolkata!$D$10:$D$26=D10)"),10630.18)</f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57">
        <f>IFERROR(__xludf.DUMMYFUNCTION("FILTER(Kolkata!$F$10:$F$26, Kolkata!$A$10:$A$26=A11, Kolkata!$B$10:$B$26=B11, Kolkata!$D$10:$D$26=D11)"),81.25)</f>
        <v>81.25</v>
      </c>
      <c r="G11" s="104">
        <f>IFERROR(__xludf.DUMMYFUNCTION("FILTER(Kolkata!$G$10:$G$26, Kolkata!$A$10:$A$26=A11, Kolkata!$B$10:$B$26=B11, Kolkata!$D$10:$D$26=D11)"),7677.35)</f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57">
        <f>IFERROR(__xludf.DUMMYFUNCTION("FILTER(Kolkata!$F$10:$F$26, Kolkata!$A$10:$A$26=A12, Kolkata!$B$10:$B$26=B12, Kolkata!$D$10:$D$26=D12)"),168.75)</f>
        <v>168.75</v>
      </c>
      <c r="G12" s="104">
        <f>IFERROR(__xludf.DUMMYFUNCTION("FILTER(Kolkata!$G$10:$G$26, Kolkata!$A$10:$A$26=A12, Kolkata!$B$10:$B$26=B12, Kolkata!$D$10:$D$26=D12)"),15945.27)</f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57">
        <f>IFERROR(__xludf.DUMMYFUNCTION("FILTER(Kolkata!$F$10:$F$26, Kolkata!$A$10:$A$26=A13, Kolkata!$B$10:$B$26=B13, Kolkata!$D$10:$D$26=D13)"),118.75)</f>
        <v>118.75</v>
      </c>
      <c r="G13" s="104">
        <f>IFERROR(__xludf.DUMMYFUNCTION("FILTER(Kolkata!$G$10:$G$26, Kolkata!$A$10:$A$26=A13, Kolkata!$B$10:$B$26=B13, Kolkata!$D$10:$D$26=D13)"),11220.75)</f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57">
        <f>IFERROR(__xludf.DUMMYFUNCTION("FILTER(Kolkata!$F$10:$F$26, Kolkata!$A$10:$A$26=A14, Kolkata!$B$10:$B$26=B14, Kolkata!$D$10:$D$26=D14)"),275.0)</f>
        <v>275</v>
      </c>
      <c r="G14" s="104">
        <f>IFERROR(__xludf.DUMMYFUNCTION("FILTER(Kolkata!$G$10:$G$26, Kolkata!$A$10:$A$26=A14, Kolkata!$B$10:$B$26=B14, Kolkata!$D$10:$D$26=D14)"),25984.89)</f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57">
        <f>IFERROR(__xludf.DUMMYFUNCTION("FILTER(Kolkata!$F$10:$F$26, Kolkata!$A$10:$A$26=A15, Kolkata!$B$10:$B$26=B15, Kolkata!$D$10:$D$26=D15)"),200.0)</f>
        <v>200</v>
      </c>
      <c r="G15" s="104">
        <f>IFERROR(__xludf.DUMMYFUNCTION("FILTER(Kolkata!$G$10:$G$26, Kolkata!$A$10:$A$26=A15, Kolkata!$B$10:$B$26=B15, Kolkata!$D$10:$D$26=D15)"),18898.1)</f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57">
        <f>IFERROR(__xludf.DUMMYFUNCTION("FILTER(Kolkata!$F$10:$F$26, Kolkata!$A$10:$A$26=A16, Kolkata!$B$10:$B$26=B16, Kolkata!$D$10:$D$26=D16)"),425.0)</f>
        <v>425</v>
      </c>
      <c r="G16" s="104">
        <f>IFERROR(__xludf.DUMMYFUNCTION("FILTER(Kolkata!$G$10:$G$26, Kolkata!$A$10:$A$26=A16, Kolkata!$B$10:$B$26=B16, Kolkata!$D$10:$D$26=D16)"),40158.46)</f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57">
        <f>IFERROR(__xludf.DUMMYFUNCTION("FILTER(Kolkata!$F$10:$F$26, Kolkata!$A$10:$A$26=A17, Kolkata!$B$10:$B$26=B17, Kolkata!$D$10:$D$26=D17)"),312.5)</f>
        <v>312.5</v>
      </c>
      <c r="G17" s="104">
        <f>IFERROR(__xludf.DUMMYFUNCTION("FILTER(Kolkata!$G$10:$G$26, Kolkata!$A$10:$A$26=A17, Kolkata!$B$10:$B$26=B17, Kolkata!$D$10:$D$26=D17)"),29528.28)</f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57">
        <f>IFERROR(__xludf.DUMMYFUNCTION("FILTER(Kolkata!$F$10:$F$26, Kolkata!$A$10:$A$26=A18, Kolkata!$B$10:$B$26=B18, Kolkata!$D$10:$D$26=D18)"),68.75)</f>
        <v>68.75</v>
      </c>
      <c r="G18" s="104">
        <f>IFERROR(__xludf.DUMMYFUNCTION("FILTER(Kolkata!$G$10:$G$26, Kolkata!$A$10:$A$26=A18, Kolkata!$B$10:$B$26=B18, Kolkata!$D$10:$D$26=D18)"),6496.22)</f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57">
        <f>IFERROR(__xludf.DUMMYFUNCTION("FILTER(Kolkata!$F$10:$F$26, Kolkata!$A$10:$A$26=A19, Kolkata!$B$10:$B$26=B19, Kolkata!$D$10:$D$26=D19)"),68.75)</f>
        <v>68.75</v>
      </c>
      <c r="G19" s="104">
        <f>IFERROR(__xludf.DUMMYFUNCTION("FILTER(Kolkata!$G$10:$G$26, Kolkata!$A$10:$A$26=A19, Kolkata!$B$10:$B$26=B19, Kolkata!$D$10:$D$26=D19)"),6496.22)</f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57">
        <f>IFERROR(__xludf.DUMMYFUNCTION("FILTER(Kolkata!$F$10:$F$26, Kolkata!$A$10:$A$26=A20, Kolkata!$B$10:$B$26=B20, Kolkata!$D$10:$D$26=D20)"),56.25)</f>
        <v>56.25</v>
      </c>
      <c r="G20" s="104">
        <f>IFERROR(__xludf.DUMMYFUNCTION("FILTER(Kolkata!$G$10:$G$26, Kolkata!$A$10:$A$26=A20, Kolkata!$B$10:$B$26=B20, Kolkata!$D$10:$D$26=D20)"),5315.09)</f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57">
        <f>IFERROR(__xludf.DUMMYFUNCTION("FILTER(Kolkata!$F$10:$F$26, Kolkata!$A$10:$A$26=A21, Kolkata!$B$10:$B$26=B21, Kolkata!$D$10:$D$26=D21)"),237.5)</f>
        <v>237.5</v>
      </c>
      <c r="G21" s="104">
        <f>IFERROR(__xludf.DUMMYFUNCTION("FILTER(Kolkata!$G$10:$G$26, Kolkata!$A$10:$A$26=A21, Kolkata!$B$10:$B$26=B21, Kolkata!$D$10:$D$26=D21)"),22441.49)</f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57">
        <f>IFERROR(__xludf.DUMMYFUNCTION("FILTER(Kolkata!$F$10:$F$26, Kolkata!$A$10:$A$26=A22, Kolkata!$B$10:$B$26=B22, Kolkata!$D$10:$D$26=D22)"),56.25)</f>
        <v>56.25</v>
      </c>
      <c r="G22" s="104">
        <f>IFERROR(__xludf.DUMMYFUNCTION("FILTER(Kolkata!$G$10:$G$26, Kolkata!$A$10:$A$26=A22, Kolkata!$B$10:$B$26=B22, Kolkata!$D$10:$D$26=D22)"),5315.09)</f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57">
        <f>IFERROR(__xludf.DUMMYFUNCTION("FILTER(Kolkata!$F$10:$F$26, Kolkata!$A$10:$A$26=A23, Kolkata!$B$10:$B$26=B23, Kolkata!$D$10:$D$26=D23)"),22.5)</f>
        <v>22.5</v>
      </c>
      <c r="G23" s="104">
        <f>IFERROR(__xludf.DUMMYFUNCTION("FILTER(Kolkata!$G$10:$G$26, Kolkata!$A$10:$A$26=A23, Kolkata!$B$10:$B$26=B23, Kolkata!$D$10:$D$26=D23)"),2126.04)</f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57">
        <f>IFERROR(__xludf.DUMMYFUNCTION("FILTER(Kolkata!$F$10:$F$26, Kolkata!$A$10:$A$26=A24, Kolkata!$B$10:$B$26=B24, Kolkata!$D$10:$D$26=D24)"),31.25)</f>
        <v>31.25</v>
      </c>
      <c r="G24" s="104">
        <f>IFERROR(__xludf.DUMMYFUNCTION("FILTER(Kolkata!$G$10:$G$26, Kolkata!$A$10:$A$26=A24, Kolkata!$B$10:$B$26=B24, Kolkata!$D$10:$D$26=D24)"),2952.83)</f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57">
        <f>IFERROR(__xludf.DUMMYFUNCTION("FILTER(Kolkata!$F$10:$F$26, Kolkata!$A$10:$A$26=A25, Kolkata!$B$10:$B$26=B25, Kolkata!$D$10:$D$26=D25)"),10.0)</f>
        <v>10</v>
      </c>
      <c r="G25" s="104">
        <f>IFERROR(__xludf.DUMMYFUNCTION("FILTER(Kolkata!$G$10:$G$26, Kolkata!$A$10:$A$26=A25, Kolkata!$B$10:$B$26=B25, Kolkata!$D$10:$D$26=D25)"),944.91)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57">
        <f>IFERROR(__xludf.DUMMYFUNCTION("FILTER(Kolkata!$F$10:$F$26, Kolkata!$A$10:$A$26=A26, Kolkata!$B$10:$B$26=B26, Kolkata!$D$10:$D$26=D26)"),7.5)</f>
        <v>7.5</v>
      </c>
      <c r="G26" s="104">
        <f>IFERROR(__xludf.DUMMYFUNCTION("FILTER(Kolkata!$G$10:$G$26, Kolkata!$A$10:$A$26=A26, Kolkata!$B$10:$B$26=B26, Kolkata!$D$10:$D$26=D26)"),708.68)</f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1019</v>
      </c>
      <c r="C29" s="21" t="s">
        <v>76</v>
      </c>
      <c r="D29" s="62">
        <v>2.0</v>
      </c>
      <c r="E29" s="105">
        <f t="shared" ref="E29:E42" si="1">ROUND(D29 * ($G$10/$F$10), 2)</f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1020</v>
      </c>
      <c r="C30" s="25" t="s">
        <v>76</v>
      </c>
      <c r="D30" s="64">
        <v>2.0</v>
      </c>
      <c r="E30" s="106">
        <f t="shared" si="1"/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1021</v>
      </c>
      <c r="C31" s="25" t="s">
        <v>76</v>
      </c>
      <c r="D31" s="64">
        <v>2.0</v>
      </c>
      <c r="E31" s="106">
        <f t="shared" si="1"/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1022</v>
      </c>
      <c r="C32" s="25" t="s">
        <v>76</v>
      </c>
      <c r="D32" s="64">
        <v>2.0</v>
      </c>
      <c r="E32" s="106">
        <f t="shared" si="1"/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1023</v>
      </c>
      <c r="C33" s="25" t="s">
        <v>76</v>
      </c>
      <c r="D33" s="64">
        <v>2.0</v>
      </c>
      <c r="E33" s="106">
        <f t="shared" si="1"/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1025</v>
      </c>
      <c r="C34" s="25" t="s">
        <v>76</v>
      </c>
      <c r="D34" s="64">
        <v>2.0</v>
      </c>
      <c r="E34" s="106">
        <f t="shared" si="1"/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1026</v>
      </c>
      <c r="C35" s="25" t="s">
        <v>76</v>
      </c>
      <c r="D35" s="64">
        <v>2.0</v>
      </c>
      <c r="E35" s="106">
        <f t="shared" si="1"/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1028</v>
      </c>
      <c r="C36" s="25" t="s">
        <v>76</v>
      </c>
      <c r="D36" s="64">
        <v>2.0</v>
      </c>
      <c r="E36" s="106">
        <f t="shared" si="1"/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1029</v>
      </c>
      <c r="C37" s="25" t="s">
        <v>76</v>
      </c>
      <c r="D37" s="64">
        <v>0.0</v>
      </c>
      <c r="E37" s="106">
        <f t="shared" si="1"/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1031</v>
      </c>
      <c r="C38" s="25" t="s">
        <v>76</v>
      </c>
      <c r="D38" s="64">
        <v>2.0</v>
      </c>
      <c r="E38" s="106">
        <f t="shared" si="1"/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1033</v>
      </c>
      <c r="C39" s="25" t="s">
        <v>76</v>
      </c>
      <c r="D39" s="64">
        <v>2.0</v>
      </c>
      <c r="E39" s="106">
        <f t="shared" si="1"/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1035</v>
      </c>
      <c r="C40" s="25" t="s">
        <v>76</v>
      </c>
      <c r="D40" s="64">
        <v>2.0</v>
      </c>
      <c r="E40" s="106">
        <f t="shared" si="1"/>
        <v>188.98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1036</v>
      </c>
      <c r="C41" s="25" t="s">
        <v>76</v>
      </c>
      <c r="D41" s="64">
        <v>2.0</v>
      </c>
      <c r="E41" s="106">
        <f t="shared" si="1"/>
        <v>188.98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37" t="s">
        <v>74</v>
      </c>
      <c r="B42" s="29" t="s">
        <v>1037</v>
      </c>
      <c r="C42" s="37" t="s">
        <v>76</v>
      </c>
      <c r="D42" s="66">
        <v>2.0</v>
      </c>
      <c r="E42" s="107">
        <f t="shared" si="1"/>
        <v>188.98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996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998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1005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1006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1007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1008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1009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1010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1011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1012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1013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1014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1015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1016</v>
      </c>
      <c r="C40" s="25" t="s">
        <v>76</v>
      </c>
      <c r="D40" s="27">
        <v>2.0</v>
      </c>
      <c r="E40" s="28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1017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1018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1024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1027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1030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1032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1034</v>
      </c>
      <c r="C33" s="37" t="s">
        <v>76</v>
      </c>
      <c r="D33" s="39">
        <v>6.0</v>
      </c>
      <c r="E33" s="40">
        <v>566.94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1038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1039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1040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1041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1042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1043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1044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1045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1046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1047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1048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1049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1050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1051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1052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1053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57">
        <f>IFERROR(__xludf.DUMMYFUNCTION("FILTER(Kolkata!$F$10:$F$26, Kolkata!$A$10:$A$26=A10, Kolkata!$B$10:$B$26=B10, Kolkata!$C$10:$C$26=C10, Kolkata!$D$10:$D$26=D10)"),112.5)</f>
        <v>112.5</v>
      </c>
      <c r="G10" s="104">
        <f>IFERROR(__xludf.DUMMYFUNCTION("FILTER(Kolkata!$G$10:$G$26, Kolkata!$A$10:$A$26=A10, Kolkata!$B$10:$B$26=B10, Kolkata!$C$10:$C$26=C10, Kolkata!$D$10:$D$26=D10)"),10630.18)</f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57">
        <f>IFERROR(__xludf.DUMMYFUNCTION("FILTER(Kolkata!$F$10:$F$26, Kolkata!$A$10:$A$26=A11, Kolkata!$B$10:$B$26=B11, Kolkata!$C$10:$C$26=C11, Kolkata!$D$10:$D$26=D11)"),81.25)</f>
        <v>81.25</v>
      </c>
      <c r="G11" s="104">
        <f>IFERROR(__xludf.DUMMYFUNCTION("FILTER(Kolkata!$G$10:$G$26, Kolkata!$A$10:$A$26=A11, Kolkata!$B$10:$B$26=B11, Kolkata!$C$10:$C$26=C11, Kolkata!$D$10:$D$26=D11)"),7677.35)</f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57">
        <f>IFERROR(__xludf.DUMMYFUNCTION("FILTER(Kolkata!$F$10:$F$26, Kolkata!$A$10:$A$26=A12, Kolkata!$B$10:$B$26=B12, Kolkata!$C$10:$C$26=C12, Kolkata!$D$10:$D$26=D12)"),168.75)</f>
        <v>168.75</v>
      </c>
      <c r="G12" s="104">
        <f>IFERROR(__xludf.DUMMYFUNCTION("FILTER(Kolkata!$G$10:$G$26, Kolkata!$A$10:$A$26=A12, Kolkata!$B$10:$B$26=B12, Kolkata!$C$10:$C$26=C12, Kolkata!$D$10:$D$26=D12)"),15945.27)</f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57">
        <f>IFERROR(__xludf.DUMMYFUNCTION("FILTER(Kolkata!$F$10:$F$26, Kolkata!$A$10:$A$26=A13, Kolkata!$B$10:$B$26=B13, Kolkata!$C$10:$C$26=C13, Kolkata!$D$10:$D$26=D13)"),118.75)</f>
        <v>118.75</v>
      </c>
      <c r="G13" s="104">
        <f>IFERROR(__xludf.DUMMYFUNCTION("FILTER(Kolkata!$G$10:$G$26, Kolkata!$A$10:$A$26=A13, Kolkata!$B$10:$B$26=B13, Kolkata!$C$10:$C$26=C13, Kolkata!$D$10:$D$26=D13)"),11220.75)</f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57">
        <f>IFERROR(__xludf.DUMMYFUNCTION("FILTER(Kolkata!$F$10:$F$26, Kolkata!$A$10:$A$26=A14, Kolkata!$B$10:$B$26=B14, Kolkata!$C$10:$C$26=C14, Kolkata!$D$10:$D$26=D14)"),275.0)</f>
        <v>275</v>
      </c>
      <c r="G14" s="104">
        <f>IFERROR(__xludf.DUMMYFUNCTION("FILTER(Kolkata!$G$10:$G$26, Kolkata!$A$10:$A$26=A14, Kolkata!$B$10:$B$26=B14, Kolkata!$C$10:$C$26=C14, Kolkata!$D$10:$D$26=D14)"),25984.89)</f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57">
        <f>IFERROR(__xludf.DUMMYFUNCTION("FILTER(Kolkata!$F$10:$F$26, Kolkata!$A$10:$A$26=A15, Kolkata!$B$10:$B$26=B15, Kolkata!$C$10:$C$26=C15, Kolkata!$D$10:$D$26=D15)"),200.0)</f>
        <v>200</v>
      </c>
      <c r="G15" s="104">
        <f>IFERROR(__xludf.DUMMYFUNCTION("FILTER(Kolkata!$G$10:$G$26, Kolkata!$A$10:$A$26=A15, Kolkata!$B$10:$B$26=B15, Kolkata!$C$10:$C$26=C15, Kolkata!$D$10:$D$26=D15)"),18898.1)</f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57">
        <f>IFERROR(__xludf.DUMMYFUNCTION("FILTER(Kolkata!$F$10:$F$26, Kolkata!$A$10:$A$26=A16, Kolkata!$B$10:$B$26=B16, Kolkata!$C$10:$C$26=C16, Kolkata!$D$10:$D$26=D16)"),425.0)</f>
        <v>425</v>
      </c>
      <c r="G16" s="104">
        <f>IFERROR(__xludf.DUMMYFUNCTION("FILTER(Kolkata!$G$10:$G$26, Kolkata!$A$10:$A$26=A16, Kolkata!$B$10:$B$26=B16, Kolkata!$C$10:$C$26=C16, Kolkata!$D$10:$D$26=D16)"),40158.46)</f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57">
        <f>IFERROR(__xludf.DUMMYFUNCTION("FILTER(Kolkata!$F$10:$F$26, Kolkata!$A$10:$A$26=A17, Kolkata!$B$10:$B$26=B17, Kolkata!$C$10:$C$26=C17, Kolkata!$D$10:$D$26=D17)"),312.5)</f>
        <v>312.5</v>
      </c>
      <c r="G17" s="104">
        <f>IFERROR(__xludf.DUMMYFUNCTION("FILTER(Kolkata!$G$10:$G$26, Kolkata!$A$10:$A$26=A17, Kolkata!$B$10:$B$26=B17, Kolkata!$C$10:$C$26=C17, Kolkata!$D$10:$D$26=D17)"),29528.28)</f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57">
        <f>IFERROR(__xludf.DUMMYFUNCTION("FILTER(Kolkata!$F$10:$F$26, Kolkata!$A$10:$A$26=A18, Kolkata!$B$10:$B$26=B18, Kolkata!$C$10:$C$26=C18, Kolkata!$D$10:$D$26=D18)"),68.75)</f>
        <v>68.75</v>
      </c>
      <c r="G18" s="104">
        <f>IFERROR(__xludf.DUMMYFUNCTION("FILTER(Kolkata!$G$10:$G$26, Kolkata!$A$10:$A$26=A18, Kolkata!$B$10:$B$26=B18, Kolkata!$C$10:$C$26=C18, Kolkata!$D$10:$D$26=D18)"),6496.22)</f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57">
        <f>IFERROR(__xludf.DUMMYFUNCTION("FILTER(Kolkata!$F$10:$F$26, Kolkata!$A$10:$A$26=A19, Kolkata!$B$10:$B$26=B19, Kolkata!$C$10:$C$26=C19, Kolkata!$D$10:$D$26=D19)"),68.75)</f>
        <v>68.75</v>
      </c>
      <c r="G19" s="104">
        <f>IFERROR(__xludf.DUMMYFUNCTION("FILTER(Kolkata!$G$10:$G$26, Kolkata!$A$10:$A$26=A19, Kolkata!$B$10:$B$26=B19, Kolkata!$C$10:$C$26=C19, Kolkata!$D$10:$D$26=D19)"),6496.22)</f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57">
        <f>IFERROR(__xludf.DUMMYFUNCTION("FILTER(Kolkata!$F$10:$F$26, Kolkata!$A$10:$A$26=A20, Kolkata!$B$10:$B$26=B20, Kolkata!$C$10:$C$26=C20, Kolkata!$D$10:$D$26=D20)"),56.25)</f>
        <v>56.25</v>
      </c>
      <c r="G20" s="104">
        <f>IFERROR(__xludf.DUMMYFUNCTION("FILTER(Kolkata!$G$10:$G$26, Kolkata!$A$10:$A$26=A20, Kolkata!$B$10:$B$26=B20, Kolkata!$C$10:$C$26=C20, Kolkata!$D$10:$D$26=D20)"),5315.09)</f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57">
        <f>IFERROR(__xludf.DUMMYFUNCTION("FILTER(Kolkata!$F$10:$F$26, Kolkata!$A$10:$A$26=A21, Kolkata!$B$10:$B$26=B21, Kolkata!$C$10:$C$26=C21, Kolkata!$D$10:$D$26=D21)"),237.5)</f>
        <v>237.5</v>
      </c>
      <c r="G21" s="104">
        <f>IFERROR(__xludf.DUMMYFUNCTION("FILTER(Kolkata!$G$10:$G$26, Kolkata!$A$10:$A$26=A21, Kolkata!$B$10:$B$26=B21, Kolkata!$C$10:$C$26=C21, Kolkata!$D$10:$D$26=D21)"),22441.49)</f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57">
        <f>IFERROR(__xludf.DUMMYFUNCTION("FILTER(Kolkata!$F$10:$F$26, Kolkata!$A$10:$A$26=A22, Kolkata!$B$10:$B$26=B22, Kolkata!$C$10:$C$26=C22, Kolkata!$D$10:$D$26=D22)"),56.25)</f>
        <v>56.25</v>
      </c>
      <c r="G22" s="104">
        <f>IFERROR(__xludf.DUMMYFUNCTION("FILTER(Kolkata!$G$10:$G$26, Kolkata!$A$10:$A$26=A22, Kolkata!$B$10:$B$26=B22, Kolkata!$C$10:$C$26=C22, Kolkata!$D$10:$D$26=D22)"),5315.09)</f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57">
        <f>IFERROR(__xludf.DUMMYFUNCTION("FILTER(Kolkata!$F$10:$F$26, Kolkata!$A$10:$A$26=A23, Kolkata!$B$10:$B$26=B23, Kolkata!$C$10:$C$26=C23, Kolkata!$D$10:$D$26=D23)"),22.5)</f>
        <v>22.5</v>
      </c>
      <c r="G23" s="104">
        <f>IFERROR(__xludf.DUMMYFUNCTION("FILTER(Kolkata!$G$10:$G$26, Kolkata!$A$10:$A$26=A23, Kolkata!$B$10:$B$26=B23, Kolkata!$C$10:$C$26=C23, Kolkata!$D$10:$D$26=D23)"),2126.04)</f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57">
        <f>IFERROR(__xludf.DUMMYFUNCTION("FILTER(Kolkata!$F$10:$F$26, Kolkata!$A$10:$A$26=A24, Kolkata!$B$10:$B$26=B24, Kolkata!$C$10:$C$26=C24, Kolkata!$D$10:$D$26=D24)"),31.25)</f>
        <v>31.25</v>
      </c>
      <c r="G24" s="104">
        <f>IFERROR(__xludf.DUMMYFUNCTION("FILTER(Kolkata!$G$10:$G$26, Kolkata!$A$10:$A$26=A24, Kolkata!$B$10:$B$26=B24, Kolkata!$C$10:$C$26=C24, Kolkata!$D$10:$D$26=D24)"),2952.83)</f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57">
        <f>IFERROR(__xludf.DUMMYFUNCTION("FILTER(Kolkata!$F$10:$F$26, Kolkata!$A$10:$A$26=A25, Kolkata!$B$10:$B$26=B25, Kolkata!$C$10:$C$26=C25, Kolkata!$D$10:$D$26=D25)"),10.0)</f>
        <v>10</v>
      </c>
      <c r="G25" s="104">
        <f>IFERROR(__xludf.DUMMYFUNCTION("FILTER(Kolkata!$G$10:$G$26, Kolkata!$A$10:$A$26=A25, Kolkata!$B$10:$B$26=B25, Kolkata!$C$10:$C$26=C25, Kolkata!$D$10:$D$26=D25)"),944.91)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57">
        <f>IFERROR(__xludf.DUMMYFUNCTION("FILTER(Kolkata!$F$10:$F$26, Kolkata!$A$10:$A$26=A26, Kolkata!$B$10:$B$26=B26, Kolkata!$C$10:$C$26=C26, Kolkata!$D$10:$D$26=D26)"),7.5)</f>
        <v>7.5</v>
      </c>
      <c r="G26" s="104">
        <f>IFERROR(__xludf.DUMMYFUNCTION("FILTER(Kolkata!$G$10:$G$26, Kolkata!$A$10:$A$26=A26, Kolkata!$B$10:$B$26=B26, Kolkata!$C$10:$C$26=C26, Kolkata!$D$10:$D$26=D26)"),708.68)</f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1066</v>
      </c>
      <c r="C29" s="21" t="s">
        <v>76</v>
      </c>
      <c r="D29" s="62">
        <v>2.0</v>
      </c>
      <c r="E29" s="105">
        <f t="shared" ref="E29:E40" si="1">ROUND(D29*($G$10/$F$10), 2)</f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1067</v>
      </c>
      <c r="C30" s="25" t="s">
        <v>76</v>
      </c>
      <c r="D30" s="64">
        <v>2.0</v>
      </c>
      <c r="E30" s="106">
        <f t="shared" si="1"/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1068</v>
      </c>
      <c r="C31" s="25" t="s">
        <v>76</v>
      </c>
      <c r="D31" s="64">
        <v>2.0</v>
      </c>
      <c r="E31" s="106">
        <f t="shared" si="1"/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1070</v>
      </c>
      <c r="C32" s="25" t="s">
        <v>76</v>
      </c>
      <c r="D32" s="64">
        <v>2.0</v>
      </c>
      <c r="E32" s="106">
        <f t="shared" si="1"/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1071</v>
      </c>
      <c r="C33" s="25" t="s">
        <v>76</v>
      </c>
      <c r="D33" s="64">
        <v>2.0</v>
      </c>
      <c r="E33" s="106">
        <f t="shared" si="1"/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1073</v>
      </c>
      <c r="C34" s="25" t="s">
        <v>76</v>
      </c>
      <c r="D34" s="64">
        <v>2.0</v>
      </c>
      <c r="E34" s="106">
        <f t="shared" si="1"/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1074</v>
      </c>
      <c r="C35" s="25" t="s">
        <v>76</v>
      </c>
      <c r="D35" s="64">
        <v>2.0</v>
      </c>
      <c r="E35" s="106">
        <f t="shared" si="1"/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1076</v>
      </c>
      <c r="C36" s="25" t="s">
        <v>76</v>
      </c>
      <c r="D36" s="64">
        <v>2.0</v>
      </c>
      <c r="E36" s="106">
        <f t="shared" si="1"/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1078</v>
      </c>
      <c r="C37" s="25" t="s">
        <v>76</v>
      </c>
      <c r="D37" s="64">
        <v>2.0</v>
      </c>
      <c r="E37" s="106">
        <f t="shared" si="1"/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1080</v>
      </c>
      <c r="C38" s="25" t="s">
        <v>76</v>
      </c>
      <c r="D38" s="64">
        <v>2.0</v>
      </c>
      <c r="E38" s="106">
        <f t="shared" si="1"/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1081</v>
      </c>
      <c r="C39" s="25" t="s">
        <v>76</v>
      </c>
      <c r="D39" s="64">
        <v>2.0</v>
      </c>
      <c r="E39" s="106">
        <f t="shared" si="1"/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1082</v>
      </c>
      <c r="C40" s="37" t="s">
        <v>76</v>
      </c>
      <c r="D40" s="66">
        <v>2.0</v>
      </c>
      <c r="E40" s="107">
        <f t="shared" si="1"/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1054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1055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1056</v>
      </c>
      <c r="C29" s="21" t="s">
        <v>76</v>
      </c>
      <c r="D29" s="23">
        <v>6.0</v>
      </c>
      <c r="E29" s="24">
        <v>566.94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1058</v>
      </c>
      <c r="C30" s="25" t="s">
        <v>76</v>
      </c>
      <c r="D30" s="27">
        <v>6.0</v>
      </c>
      <c r="E30" s="28"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1059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1060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1062</v>
      </c>
      <c r="C33" s="25" t="s">
        <v>76</v>
      </c>
      <c r="D33" s="27">
        <v>6.0</v>
      </c>
      <c r="E33" s="28">
        <v>566.94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1063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1064</v>
      </c>
      <c r="C35" s="25" t="s">
        <v>76</v>
      </c>
      <c r="D35" s="27">
        <v>40.0</v>
      </c>
      <c r="E35" s="28">
        <v>3779.62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9" t="s">
        <v>1065</v>
      </c>
      <c r="C36" s="25" t="s">
        <v>76</v>
      </c>
      <c r="D36" s="27">
        <v>3.0</v>
      </c>
      <c r="E36" s="28">
        <v>283.47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B37" s="48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7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1057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1061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1069</v>
      </c>
      <c r="C29" s="21" t="s">
        <v>76</v>
      </c>
      <c r="D29" s="23">
        <v>2.0</v>
      </c>
      <c r="E29" s="24">
        <v>188.98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1072</v>
      </c>
      <c r="C30" s="25" t="s">
        <v>76</v>
      </c>
      <c r="D30" s="27">
        <v>2.0</v>
      </c>
      <c r="E30" s="28">
        <v>188.98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1075</v>
      </c>
      <c r="C31" s="25" t="s">
        <v>76</v>
      </c>
      <c r="D31" s="27">
        <v>2.0</v>
      </c>
      <c r="E31" s="28">
        <v>188.98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1077</v>
      </c>
      <c r="C32" s="25" t="s">
        <v>76</v>
      </c>
      <c r="D32" s="27">
        <v>2.0</v>
      </c>
      <c r="E32" s="28">
        <v>188.98</v>
      </c>
      <c r="F32" s="90"/>
      <c r="G32" s="91"/>
      <c r="H32" s="91"/>
      <c r="I32" s="25" t="s">
        <v>78</v>
      </c>
    </row>
    <row r="33" ht="14.25" customHeight="1">
      <c r="A33" s="37" t="s">
        <v>74</v>
      </c>
      <c r="B33" s="111" t="s">
        <v>1079</v>
      </c>
      <c r="C33" s="37" t="s">
        <v>76</v>
      </c>
      <c r="D33" s="39">
        <v>2.0</v>
      </c>
      <c r="E33" s="40">
        <v>188.98</v>
      </c>
      <c r="F33" s="112"/>
      <c r="G33" s="113"/>
      <c r="H33" s="113"/>
      <c r="I33" s="37" t="s">
        <v>78</v>
      </c>
    </row>
    <row r="34" ht="14.25" customHeight="1">
      <c r="A34" s="114"/>
      <c r="B34" s="114"/>
      <c r="C34" s="114"/>
      <c r="D34" s="114"/>
      <c r="E34" s="114"/>
      <c r="F34" s="115"/>
      <c r="G34" s="114"/>
      <c r="H34" s="114"/>
      <c r="I34" s="114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1083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1085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1095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1098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1102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1104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1106</v>
      </c>
      <c r="C33" s="37" t="s">
        <v>76</v>
      </c>
      <c r="D33" s="39">
        <v>2.0</v>
      </c>
      <c r="E33" s="40">
        <v>188.98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1084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1086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1087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1089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1091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1092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1093</v>
      </c>
      <c r="C33" s="25" t="s">
        <v>76</v>
      </c>
      <c r="D33" s="27">
        <v>6.0</v>
      </c>
      <c r="E33" s="28">
        <v>566.94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1094</v>
      </c>
      <c r="C34" s="25" t="s">
        <v>76</v>
      </c>
      <c r="D34" s="27">
        <v>0.0</v>
      </c>
      <c r="E34" s="28">
        <v>0.0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1096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1097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1099</v>
      </c>
      <c r="C37" s="25" t="s">
        <v>76</v>
      </c>
      <c r="D37" s="27">
        <v>0.0</v>
      </c>
      <c r="E37" s="28">
        <v>0.0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1100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1101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1103</v>
      </c>
      <c r="C40" s="25" t="s">
        <v>76</v>
      </c>
      <c r="D40" s="27">
        <v>2.0</v>
      </c>
      <c r="E40" s="28">
        <v>188.98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1105</v>
      </c>
      <c r="C41" s="25" t="s">
        <v>76</v>
      </c>
      <c r="D41" s="27">
        <v>2.0</v>
      </c>
      <c r="E41" s="28">
        <v>188.98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1107</v>
      </c>
      <c r="C42" s="25" t="s">
        <v>76</v>
      </c>
      <c r="D42" s="27">
        <v>2.0</v>
      </c>
      <c r="E42" s="28">
        <v>188.98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1108</v>
      </c>
      <c r="C43" s="25" t="s">
        <v>76</v>
      </c>
      <c r="D43" s="27">
        <v>2.0</v>
      </c>
      <c r="E43" s="28">
        <v>188.98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6" t="s">
        <v>1109</v>
      </c>
      <c r="C44" s="25" t="s">
        <v>76</v>
      </c>
      <c r="D44" s="27">
        <v>2.0</v>
      </c>
      <c r="E44" s="28">
        <v>188.98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25" t="s">
        <v>74</v>
      </c>
      <c r="B45" s="26" t="s">
        <v>1110</v>
      </c>
      <c r="C45" s="25" t="s">
        <v>76</v>
      </c>
      <c r="D45" s="27">
        <v>2.0</v>
      </c>
      <c r="E45" s="28">
        <v>188.98</v>
      </c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25" t="s">
        <v>74</v>
      </c>
      <c r="B46" s="26" t="s">
        <v>1111</v>
      </c>
      <c r="C46" s="25" t="s">
        <v>76</v>
      </c>
      <c r="D46" s="27">
        <v>2.0</v>
      </c>
      <c r="E46" s="28">
        <v>188.98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25" t="s">
        <v>74</v>
      </c>
      <c r="B47" s="26" t="s">
        <v>1112</v>
      </c>
      <c r="C47" s="25" t="s">
        <v>76</v>
      </c>
      <c r="D47" s="27">
        <v>2.0</v>
      </c>
      <c r="E47" s="28">
        <v>188.98</v>
      </c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25" t="s">
        <v>74</v>
      </c>
      <c r="B48" s="26" t="s">
        <v>1113</v>
      </c>
      <c r="C48" s="25" t="s">
        <v>76</v>
      </c>
      <c r="D48" s="27">
        <v>2.0</v>
      </c>
      <c r="E48" s="28">
        <v>188.98</v>
      </c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4.25" customHeight="1">
      <c r="A49" s="25" t="s">
        <v>74</v>
      </c>
      <c r="B49" s="26" t="s">
        <v>1114</v>
      </c>
      <c r="C49" s="25" t="s">
        <v>76</v>
      </c>
      <c r="D49" s="27">
        <v>40.0</v>
      </c>
      <c r="E49" s="28">
        <v>3779.62</v>
      </c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4.25" customHeight="1">
      <c r="A50" s="25" t="s">
        <v>74</v>
      </c>
      <c r="B50" s="29" t="s">
        <v>1116</v>
      </c>
      <c r="C50" s="25" t="s">
        <v>76</v>
      </c>
      <c r="D50" s="27">
        <v>2.0</v>
      </c>
      <c r="E50" s="28">
        <v>188.98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5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1088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1090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1115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1117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1118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1119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1120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1121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1122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1123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1124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1125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1126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1127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1128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1129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1130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1131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1132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1133</v>
      </c>
      <c r="C32" s="37" t="s">
        <v>76</v>
      </c>
      <c r="D32" s="39">
        <v>2.0</v>
      </c>
      <c r="E32" s="40">
        <v>188.98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1134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1135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1136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1137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1138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1139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1140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1141</v>
      </c>
      <c r="C34" s="25" t="s">
        <v>76</v>
      </c>
      <c r="D34" s="27">
        <v>3.0</v>
      </c>
      <c r="E34" s="28">
        <v>283.47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1142</v>
      </c>
      <c r="C35" s="25" t="s">
        <v>76</v>
      </c>
      <c r="D35" s="27">
        <v>0.0</v>
      </c>
      <c r="E35" s="28">
        <v>0.0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1143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1144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1145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1147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1148</v>
      </c>
      <c r="C40" s="25" t="s">
        <v>76</v>
      </c>
      <c r="D40" s="27">
        <v>2.0</v>
      </c>
      <c r="E40" s="28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1146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1149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1150</v>
      </c>
      <c r="C29" s="21" t="s">
        <v>76</v>
      </c>
      <c r="D29" s="23">
        <v>2.0</v>
      </c>
      <c r="E29" s="24">
        <v>188.98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1151</v>
      </c>
      <c r="C30" s="25" t="s">
        <v>76</v>
      </c>
      <c r="D30" s="27">
        <v>2.0</v>
      </c>
      <c r="E30" s="28">
        <v>188.98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1152</v>
      </c>
      <c r="C31" s="25" t="s">
        <v>76</v>
      </c>
      <c r="D31" s="27">
        <v>2.0</v>
      </c>
      <c r="E31" s="28">
        <v>188.98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1153</v>
      </c>
      <c r="C32" s="25" t="s">
        <v>76</v>
      </c>
      <c r="D32" s="27">
        <v>2.0</v>
      </c>
      <c r="E32" s="28">
        <v>188.98</v>
      </c>
      <c r="F32" s="90"/>
      <c r="G32" s="91"/>
      <c r="H32" s="91"/>
      <c r="I32" s="25" t="s">
        <v>78</v>
      </c>
    </row>
    <row r="33" ht="14.25" customHeight="1">
      <c r="A33" s="25" t="s">
        <v>74</v>
      </c>
      <c r="B33" s="89" t="s">
        <v>1154</v>
      </c>
      <c r="C33" s="25" t="s">
        <v>76</v>
      </c>
      <c r="D33" s="27">
        <v>2.0</v>
      </c>
      <c r="E33" s="28">
        <v>188.98</v>
      </c>
      <c r="F33" s="90"/>
      <c r="G33" s="91"/>
      <c r="H33" s="91"/>
      <c r="I33" s="25" t="s">
        <v>78</v>
      </c>
    </row>
    <row r="34" ht="14.25" customHeight="1">
      <c r="A34" s="25" t="s">
        <v>74</v>
      </c>
      <c r="B34" s="89" t="s">
        <v>1155</v>
      </c>
      <c r="C34" s="25" t="s">
        <v>76</v>
      </c>
      <c r="D34" s="27">
        <v>2.0</v>
      </c>
      <c r="E34" s="28">
        <v>188.98</v>
      </c>
      <c r="F34" s="90"/>
      <c r="G34" s="91"/>
      <c r="H34" s="91"/>
      <c r="I34" s="25" t="s">
        <v>78</v>
      </c>
    </row>
    <row r="35" ht="14.25" customHeight="1">
      <c r="A35" s="95" t="s">
        <v>74</v>
      </c>
      <c r="B35" s="96" t="s">
        <v>1156</v>
      </c>
      <c r="C35" s="95" t="s">
        <v>76</v>
      </c>
      <c r="D35" s="39">
        <v>0.0</v>
      </c>
      <c r="E35" s="40">
        <v>0.0</v>
      </c>
      <c r="F35" s="97"/>
      <c r="G35" s="97"/>
      <c r="H35" s="97"/>
      <c r="I35" s="97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1157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1158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1159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1160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1161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1162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1163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1164</v>
      </c>
      <c r="C34" s="25" t="s">
        <v>76</v>
      </c>
      <c r="D34" s="27">
        <v>6.0</v>
      </c>
      <c r="E34" s="28">
        <v>566.94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1165</v>
      </c>
      <c r="C35" s="25" t="s">
        <v>76</v>
      </c>
      <c r="D35" s="27">
        <v>0.0</v>
      </c>
      <c r="E35" s="28">
        <v>0.0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1166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1167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1168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1169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1170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1171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1172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1175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1176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1177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1178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1179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1181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1182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1184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1186</v>
      </c>
      <c r="C37" s="25" t="s">
        <v>76</v>
      </c>
      <c r="D37" s="27">
        <v>3.0</v>
      </c>
      <c r="E37" s="28">
        <v>283.47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1189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37" t="s">
        <v>74</v>
      </c>
      <c r="B39" s="29" t="s">
        <v>1192</v>
      </c>
      <c r="C39" s="37" t="s">
        <v>76</v>
      </c>
      <c r="D39" s="39">
        <v>2.0</v>
      </c>
      <c r="E39" s="40">
        <v>188.98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1173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1174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1180</v>
      </c>
      <c r="C29" s="21" t="s">
        <v>76</v>
      </c>
      <c r="D29" s="23">
        <v>2.0</v>
      </c>
      <c r="E29" s="24">
        <v>188.98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1183</v>
      </c>
      <c r="C30" s="25" t="s">
        <v>76</v>
      </c>
      <c r="D30" s="27">
        <v>2.0</v>
      </c>
      <c r="E30" s="28">
        <v>188.98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1185</v>
      </c>
      <c r="C31" s="25" t="s">
        <v>76</v>
      </c>
      <c r="D31" s="27">
        <v>2.0</v>
      </c>
      <c r="E31" s="28">
        <v>188.98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1187</v>
      </c>
      <c r="C32" s="25" t="s">
        <v>76</v>
      </c>
      <c r="D32" s="27">
        <v>0.0</v>
      </c>
      <c r="E32" s="28">
        <v>0.0</v>
      </c>
      <c r="F32" s="90"/>
      <c r="G32" s="91"/>
      <c r="H32" s="91"/>
      <c r="I32" s="25" t="s">
        <v>78</v>
      </c>
    </row>
    <row r="33" ht="14.25" customHeight="1">
      <c r="A33" s="25" t="s">
        <v>74</v>
      </c>
      <c r="B33" s="89" t="s">
        <v>1188</v>
      </c>
      <c r="C33" s="25" t="s">
        <v>76</v>
      </c>
      <c r="D33" s="27">
        <v>2.0</v>
      </c>
      <c r="E33" s="28">
        <v>188.98</v>
      </c>
      <c r="F33" s="90"/>
      <c r="G33" s="91"/>
      <c r="H33" s="91"/>
      <c r="I33" s="25" t="s">
        <v>78</v>
      </c>
    </row>
    <row r="34" ht="14.25" customHeight="1">
      <c r="A34" s="25" t="s">
        <v>74</v>
      </c>
      <c r="B34" s="89" t="s">
        <v>1190</v>
      </c>
      <c r="C34" s="25" t="s">
        <v>76</v>
      </c>
      <c r="D34" s="27">
        <v>0.0</v>
      </c>
      <c r="E34" s="28">
        <v>0.0</v>
      </c>
      <c r="F34" s="90"/>
      <c r="G34" s="91"/>
      <c r="H34" s="91"/>
      <c r="I34" s="25" t="s">
        <v>78</v>
      </c>
    </row>
    <row r="35" ht="14.25" customHeight="1">
      <c r="A35" s="95" t="s">
        <v>74</v>
      </c>
      <c r="B35" s="96" t="s">
        <v>1191</v>
      </c>
      <c r="C35" s="95" t="s">
        <v>76</v>
      </c>
      <c r="D35" s="39">
        <v>2.0</v>
      </c>
      <c r="E35" s="40">
        <v>188.98</v>
      </c>
      <c r="F35" s="97"/>
      <c r="G35" s="97"/>
      <c r="H35" s="97"/>
      <c r="I35" s="97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1193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1194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1195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1196</v>
      </c>
      <c r="C30" s="25" t="s">
        <v>76</v>
      </c>
      <c r="D30" s="27">
        <v>3.0</v>
      </c>
      <c r="E30" s="28">
        <v>283.47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1197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1198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1199</v>
      </c>
      <c r="C33" s="37" t="s">
        <v>76</v>
      </c>
      <c r="D33" s="39">
        <v>3.0</v>
      </c>
      <c r="E33" s="40">
        <v>283.47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1200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1201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1202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1203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1204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1205</v>
      </c>
      <c r="C32" s="37" t="s">
        <v>76</v>
      </c>
      <c r="D32" s="39">
        <v>2.0</v>
      </c>
      <c r="E32" s="40">
        <v>188.98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1206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1207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1213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1214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1215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1217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1218</v>
      </c>
      <c r="C33" s="25" t="s">
        <v>76</v>
      </c>
      <c r="D33" s="27">
        <v>0.0</v>
      </c>
      <c r="E33" s="28">
        <v>0.0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1219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1220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1222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1223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9" t="s">
        <v>1225</v>
      </c>
      <c r="C38" s="25" t="s">
        <v>76</v>
      </c>
      <c r="D38" s="27">
        <v>2.0</v>
      </c>
      <c r="E38" s="28">
        <v>188.98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B39" s="48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1208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1209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  <c r="C6" s="8" t="s">
        <v>1210</v>
      </c>
      <c r="D6" s="10">
        <f>IFERROR(__xludf.DUMMYFUNCTION("GOOGLEFINANCE(""CURRENCY:USDINR"")"),94.49050000000001)</f>
        <v>94.4905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26">
        <f t="shared" ref="G10:G26" si="1">ROUND(F10*$D$6, 2)</f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26">
        <f t="shared" si="1"/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26">
        <f t="shared" si="1"/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26">
        <f t="shared" si="1"/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26">
        <f t="shared" si="1"/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26">
        <f t="shared" si="1"/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26">
        <f t="shared" si="1"/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26">
        <f t="shared" si="1"/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26">
        <f t="shared" si="1"/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26">
        <f t="shared" si="1"/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26">
        <f t="shared" si="1"/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26">
        <f t="shared" si="1"/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26">
        <f t="shared" si="1"/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26">
        <f t="shared" si="1"/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26">
        <f t="shared" si="1"/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26">
        <f t="shared" si="1"/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26">
        <f t="shared" si="1"/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1216</v>
      </c>
      <c r="C29" s="21" t="s">
        <v>76</v>
      </c>
      <c r="D29" s="23">
        <v>2.0</v>
      </c>
      <c r="E29" s="128">
        <f t="shared" ref="E29:E41" si="2">ROUND(D29*$D$6, 2)</f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1221</v>
      </c>
      <c r="C30" s="25" t="s">
        <v>76</v>
      </c>
      <c r="D30" s="27">
        <v>2.0</v>
      </c>
      <c r="E30" s="129">
        <f t="shared" si="2"/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1224</v>
      </c>
      <c r="C31" s="25" t="s">
        <v>76</v>
      </c>
      <c r="D31" s="27">
        <v>2.0</v>
      </c>
      <c r="E31" s="129">
        <f t="shared" si="2"/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1226</v>
      </c>
      <c r="C32" s="25" t="s">
        <v>76</v>
      </c>
      <c r="D32" s="27">
        <v>2.0</v>
      </c>
      <c r="E32" s="129">
        <f t="shared" si="2"/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1227</v>
      </c>
      <c r="C33" s="25" t="s">
        <v>76</v>
      </c>
      <c r="D33" s="27">
        <v>2.0</v>
      </c>
      <c r="E33" s="129">
        <f t="shared" si="2"/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1228</v>
      </c>
      <c r="C34" s="25" t="s">
        <v>76</v>
      </c>
      <c r="D34" s="27">
        <v>2.0</v>
      </c>
      <c r="E34" s="129">
        <f t="shared" si="2"/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1229</v>
      </c>
      <c r="C35" s="25" t="s">
        <v>76</v>
      </c>
      <c r="D35" s="27">
        <v>2.0</v>
      </c>
      <c r="E35" s="129">
        <f t="shared" si="2"/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1230</v>
      </c>
      <c r="C36" s="25" t="s">
        <v>76</v>
      </c>
      <c r="D36" s="27">
        <v>2.0</v>
      </c>
      <c r="E36" s="129">
        <f t="shared" si="2"/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1231</v>
      </c>
      <c r="C37" s="25" t="s">
        <v>76</v>
      </c>
      <c r="D37" s="27">
        <v>2.0</v>
      </c>
      <c r="E37" s="129">
        <f t="shared" si="2"/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1249</v>
      </c>
      <c r="C38" s="25" t="s">
        <v>76</v>
      </c>
      <c r="D38" s="27">
        <v>2.0</v>
      </c>
      <c r="E38" s="129">
        <f t="shared" si="2"/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1252</v>
      </c>
      <c r="C39" s="25" t="s">
        <v>76</v>
      </c>
      <c r="D39" s="27">
        <v>2.0</v>
      </c>
      <c r="E39" s="129">
        <f t="shared" si="2"/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1253</v>
      </c>
      <c r="C40" s="25" t="s">
        <v>76</v>
      </c>
      <c r="D40" s="27">
        <v>2.0</v>
      </c>
      <c r="E40" s="129">
        <f t="shared" si="2"/>
        <v>188.98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37" t="s">
        <v>74</v>
      </c>
      <c r="B41" s="29" t="s">
        <v>1259</v>
      </c>
      <c r="C41" s="37" t="s">
        <v>76</v>
      </c>
      <c r="D41" s="39">
        <v>2.0</v>
      </c>
      <c r="E41" s="132">
        <f t="shared" si="2"/>
        <v>188.98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1211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1212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33">
        <f>IFERROR(__xludf.DUMMYFUNCTION("ROUND(193 * GOOGLEFINANCE(""CURRENCY:EURUSD""), 2)"),224.14)</f>
        <v>224.14</v>
      </c>
      <c r="G10" s="127">
        <f>IFERROR(__xludf.DUMMYFUNCTION("IF(ISNUMBER(F10), ROUND(F10 * GOOGLEFINANCE(""CURRENCY:USDINR""), 2), """")"),21179.1)</f>
        <v>21179.1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33">
        <f>IFERROR(__xludf.DUMMYFUNCTION("ROUND(142 * GOOGLEFINANCE(""CURRENCY:EURUSD""), 2)"),164.91)</f>
        <v>164.91</v>
      </c>
      <c r="G11" s="127">
        <f>IFERROR(__xludf.DUMMYFUNCTION("IF(ISNUMBER(F11), ROUND(F11 * GOOGLEFINANCE(""CURRENCY:USDINR""), 2), """")"),15582.43)</f>
        <v>15582.43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33">
        <f>IFERROR(__xludf.DUMMYFUNCTION("ROUND(283 * GOOGLEFINANCE(""CURRENCY:EURUSD""), 2)"),328.67)</f>
        <v>328.67</v>
      </c>
      <c r="G12" s="127">
        <f>IFERROR(__xludf.DUMMYFUNCTION("IF(ISNUMBER(F12), ROUND(F12 * GOOGLEFINANCE(""CURRENCY:USDINR""), 2), """")"),31056.19)</f>
        <v>31056.19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33">
        <f>IFERROR(__xludf.DUMMYFUNCTION("ROUND(206 * GOOGLEFINANCE(""CURRENCY:EURUSD""), 2)"),239.24)</f>
        <v>239.24</v>
      </c>
      <c r="G13" s="127">
        <f>IFERROR(__xludf.DUMMYFUNCTION("IF(ISNUMBER(F13), ROUND(F13 * GOOGLEFINANCE(""CURRENCY:USDINR""), 2), """")"),22605.91)</f>
        <v>22605.91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33">
        <f>IFERROR(__xludf.DUMMYFUNCTION("ROUND(451 * GOOGLEFINANCE(""CURRENCY:EURUSD""), 2)"),523.78)</f>
        <v>523.78</v>
      </c>
      <c r="G14" s="127">
        <f>IFERROR(__xludf.DUMMYFUNCTION("IF(ISNUMBER(F14), ROUND(F14 * GOOGLEFINANCE(""CURRENCY:USDINR""), 2), """")"),49492.23)</f>
        <v>49492.23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33">
        <f>IFERROR(__xludf.DUMMYFUNCTION("ROUND(322 * GOOGLEFINANCE(""CURRENCY:EURUSD""), 2)"),373.96)</f>
        <v>373.96</v>
      </c>
      <c r="G15" s="127">
        <f>IFERROR(__xludf.DUMMYFUNCTION("IF(ISNUMBER(F15), ROUND(F15 * GOOGLEFINANCE(""CURRENCY:USDINR""), 2), """")"),35335.67)</f>
        <v>35335.67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33">
        <f>IFERROR(__xludf.DUMMYFUNCTION("ROUND(451 * GOOGLEFINANCE(""CURRENCY:EURUSD""), 2)"),523.78)</f>
        <v>523.78</v>
      </c>
      <c r="G16" s="127">
        <f>IFERROR(__xludf.DUMMYFUNCTION("IF(ISNUMBER(F16), ROUND(F16 * GOOGLEFINANCE(""CURRENCY:USDINR""), 2), """")"),49492.23)</f>
        <v>49492.23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33">
        <f>IFERROR(__xludf.DUMMYFUNCTION("ROUND(322 * GOOGLEFINANCE(""CURRENCY:EURUSD""), 2)"),373.96)</f>
        <v>373.96</v>
      </c>
      <c r="G17" s="127">
        <f>IFERROR(__xludf.DUMMYFUNCTION("IF(ISNUMBER(F17), ROUND(F17 * GOOGLEFINANCE(""CURRENCY:USDINR""), 2), """")"),35335.67)</f>
        <v>35335.67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33">
        <f>IFERROR(__xludf.DUMMYFUNCTION("ROUND(90 * GOOGLEFINANCE(""CURRENCY:EURUSD""), 2)"),104.52)</f>
        <v>104.52</v>
      </c>
      <c r="G18" s="127">
        <f>IFERROR(__xludf.DUMMYFUNCTION("IF(ISNUMBER(F18), ROUND(F18 * GOOGLEFINANCE(""CURRENCY:USDINR""), 2), """")"),9876.15)</f>
        <v>9876.15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33">
        <f>IFERROR(__xludf.DUMMYFUNCTION("ROUND(90 * GOOGLEFINANCE(""CURRENCY:EURUSD""), 2)"),104.52)</f>
        <v>104.52</v>
      </c>
      <c r="G19" s="127">
        <f>IFERROR(__xludf.DUMMYFUNCTION("IF(ISNUMBER(F19), ROUND(F19 * GOOGLEFINANCE(""CURRENCY:USDINR""), 2), """")"),9876.15)</f>
        <v>9876.15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33">
        <f>IFERROR(__xludf.DUMMYFUNCTION("ROUND(77 * GOOGLEFINANCE(""CURRENCY:EURUSD""), 2)"),89.43)</f>
        <v>89.43</v>
      </c>
      <c r="G20" s="127">
        <f>IFERROR(__xludf.DUMMYFUNCTION("IF(ISNUMBER(F20), ROUND(F20 * GOOGLEFINANCE(""CURRENCY:USDINR""), 2), """")"),8450.29)</f>
        <v>8450.29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33">
        <f>IFERROR(__xludf.DUMMYFUNCTION("ROUND(322 * GOOGLEFINANCE(""CURRENCY:EURUSD""), 2)"),373.96)</f>
        <v>373.96</v>
      </c>
      <c r="G21" s="127">
        <f>IFERROR(__xludf.DUMMYFUNCTION("IF(ISNUMBER(F21), ROUND(F21 * GOOGLEFINANCE(""CURRENCY:USDINR""), 2), """")"),35335.67)</f>
        <v>35335.67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33">
        <f>IFERROR(__xludf.DUMMYFUNCTION("ROUND(52 * GOOGLEFINANCE(""CURRENCY:EURUSD""), 2)"),60.39)</f>
        <v>60.39</v>
      </c>
      <c r="G22" s="127">
        <f>IFERROR(__xludf.DUMMYFUNCTION("IF(ISNUMBER(F22), ROUND(F22 * GOOGLEFINANCE(""CURRENCY:USDINR""), 2), """")"),5706.28)</f>
        <v>5706.28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33">
        <f>IFERROR(__xludf.DUMMYFUNCTION("ROUND(39 * GOOGLEFINANCE(""CURRENCY:EURUSD""), 2)"),45.29)</f>
        <v>45.29</v>
      </c>
      <c r="G23" s="127">
        <f>IFERROR(__xludf.DUMMYFUNCTION("IF(ISNUMBER(F23), ROUND(F23 * GOOGLEFINANCE(""CURRENCY:USDINR""), 2), """")"),4279.47)</f>
        <v>4279.47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33">
        <f>IFERROR(__xludf.DUMMYFUNCTION("ROUND(64 * GOOGLEFINANCE(""CURRENCY:EURUSD""), 2)"),74.33)</f>
        <v>74.33</v>
      </c>
      <c r="G24" s="127">
        <f>IFERROR(__xludf.DUMMYFUNCTION("IF(ISNUMBER(F24), ROUND(F24 * GOOGLEFINANCE(""CURRENCY:USDINR""), 2), """")"),7023.48)</f>
        <v>7023.48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33">
        <f>IFERROR(__xludf.DUMMYFUNCTION("ROUND(19 * GOOGLEFINANCE(""CURRENCY:EURUSD""), 2)"),22.07)</f>
        <v>22.07</v>
      </c>
      <c r="G25" s="127">
        <f>IFERROR(__xludf.DUMMYFUNCTION("IF(ISNUMBER(F25), ROUND(F25 * GOOGLEFINANCE(""CURRENCY:USDINR""), 2), """")"),2085.41)</f>
        <v>2085.41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33">
        <f>IFERROR(__xludf.DUMMYFUNCTION("ROUND(10 * GOOGLEFINANCE(""CURRENCY:EURUSD""), 2)"),11.61)</f>
        <v>11.61</v>
      </c>
      <c r="G26" s="127">
        <f>IFERROR(__xludf.DUMMYFUNCTION("IF(ISNUMBER(F26), ROUND(F26 * GOOGLEFINANCE(""CURRENCY:USDINR""), 2), """")"),1097.03)</f>
        <v>1097.03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1232</v>
      </c>
      <c r="C29" s="21" t="s">
        <v>76</v>
      </c>
      <c r="D29" s="130" t="s">
        <v>1233</v>
      </c>
      <c r="E29" s="24" t="s">
        <v>1234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1235</v>
      </c>
      <c r="C30" s="25" t="s">
        <v>76</v>
      </c>
      <c r="D30" s="131" t="s">
        <v>1236</v>
      </c>
      <c r="E30" s="28" t="s">
        <v>1237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1238</v>
      </c>
      <c r="C31" s="25" t="s">
        <v>76</v>
      </c>
      <c r="D31" s="131" t="s">
        <v>1239</v>
      </c>
      <c r="E31" s="28" t="s">
        <v>1240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1241</v>
      </c>
      <c r="C32" s="25" t="s">
        <v>76</v>
      </c>
      <c r="D32" s="131" t="s">
        <v>1242</v>
      </c>
      <c r="E32" s="28" t="s">
        <v>1243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1244</v>
      </c>
      <c r="C33" s="25" t="s">
        <v>76</v>
      </c>
      <c r="D33" s="131" t="s">
        <v>1233</v>
      </c>
      <c r="E33" s="28" t="s">
        <v>1234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1245</v>
      </c>
      <c r="C34" s="25" t="s">
        <v>76</v>
      </c>
      <c r="D34" s="131" t="s">
        <v>1246</v>
      </c>
      <c r="E34" s="28" t="s">
        <v>1247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1248</v>
      </c>
      <c r="C35" s="25" t="s">
        <v>76</v>
      </c>
      <c r="D35" s="131" t="s">
        <v>1233</v>
      </c>
      <c r="E35" s="28" t="s">
        <v>1234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1250</v>
      </c>
      <c r="C36" s="25" t="s">
        <v>76</v>
      </c>
      <c r="D36" s="131" t="s">
        <v>1233</v>
      </c>
      <c r="E36" s="28" t="s">
        <v>1251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1254</v>
      </c>
      <c r="C37" s="25" t="s">
        <v>76</v>
      </c>
      <c r="D37" s="131" t="s">
        <v>1239</v>
      </c>
      <c r="E37" s="28" t="s">
        <v>1255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1256</v>
      </c>
      <c r="C38" s="25" t="s">
        <v>76</v>
      </c>
      <c r="D38" s="131" t="s">
        <v>1257</v>
      </c>
      <c r="E38" s="28" t="s">
        <v>1258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1260</v>
      </c>
      <c r="C39" s="25" t="s">
        <v>76</v>
      </c>
      <c r="D39" s="131" t="s">
        <v>1261</v>
      </c>
      <c r="E39" s="28" t="s">
        <v>1262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1263</v>
      </c>
      <c r="C40" s="37" t="s">
        <v>76</v>
      </c>
      <c r="D40" s="133" t="s">
        <v>1246</v>
      </c>
      <c r="E40" s="40" t="s">
        <v>1247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1264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1265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22" t="s">
        <v>1266</v>
      </c>
      <c r="C29" s="4" t="s">
        <v>76</v>
      </c>
      <c r="D29" s="14">
        <v>2.0</v>
      </c>
      <c r="E29" s="15">
        <v>188.98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26" t="s">
        <v>1267</v>
      </c>
      <c r="C30" s="4" t="s">
        <v>76</v>
      </c>
      <c r="D30" s="14">
        <v>6.0</v>
      </c>
      <c r="E30" s="15">
        <v>566.94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26" t="s">
        <v>1268</v>
      </c>
      <c r="C31" s="4" t="s">
        <v>76</v>
      </c>
      <c r="D31" s="14">
        <v>2.0</v>
      </c>
      <c r="E31" s="15">
        <v>188.98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26" t="s">
        <v>1269</v>
      </c>
      <c r="C32" s="4" t="s">
        <v>76</v>
      </c>
      <c r="D32" s="14">
        <v>2.0</v>
      </c>
      <c r="E32" s="15">
        <v>188.98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26" t="s">
        <v>1270</v>
      </c>
      <c r="C33" s="4" t="s">
        <v>76</v>
      </c>
      <c r="D33" s="14">
        <v>2.0</v>
      </c>
      <c r="E33" s="15">
        <v>188.98</v>
      </c>
      <c r="F33" s="19"/>
      <c r="G33" s="4"/>
      <c r="H33" s="4"/>
      <c r="I33" s="4" t="s">
        <v>78</v>
      </c>
    </row>
    <row r="34" ht="14.25" customHeight="1">
      <c r="A34" s="21" t="s">
        <v>74</v>
      </c>
      <c r="B34" s="26" t="s">
        <v>1271</v>
      </c>
      <c r="C34" s="21" t="s">
        <v>76</v>
      </c>
      <c r="D34" s="23">
        <v>2.0</v>
      </c>
      <c r="E34" s="24">
        <v>188.98</v>
      </c>
      <c r="F34" s="38"/>
      <c r="G34" s="21"/>
      <c r="H34" s="21"/>
      <c r="I34" s="21" t="s">
        <v>78</v>
      </c>
    </row>
    <row r="35" ht="14.25" customHeight="1">
      <c r="A35" s="45"/>
      <c r="B35" s="26" t="s">
        <v>1272</v>
      </c>
      <c r="C35" s="45"/>
      <c r="D35" s="99">
        <v>2.0</v>
      </c>
      <c r="E35" s="100">
        <v>188.98</v>
      </c>
      <c r="F35" s="45"/>
      <c r="G35" s="45"/>
      <c r="H35" s="45"/>
      <c r="I35" s="45"/>
    </row>
    <row r="36" ht="14.25" customHeight="1">
      <c r="A36" s="30"/>
      <c r="B36" s="29" t="s">
        <v>1273</v>
      </c>
      <c r="C36" s="30"/>
      <c r="D36" s="102">
        <v>2.0</v>
      </c>
      <c r="E36" s="103">
        <v>188.98</v>
      </c>
      <c r="F36" s="30"/>
      <c r="G36" s="30"/>
      <c r="H36" s="30"/>
      <c r="I36" s="30"/>
    </row>
    <row r="37" ht="14.25" customHeight="1">
      <c r="B37" s="48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7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1274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1275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1276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1277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1278</v>
      </c>
      <c r="C31" s="25" t="s">
        <v>76</v>
      </c>
      <c r="D31" s="27">
        <v>0.0</v>
      </c>
      <c r="E31" s="28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1279</v>
      </c>
      <c r="C32" s="25" t="s">
        <v>76</v>
      </c>
      <c r="D32" s="27">
        <v>6.0</v>
      </c>
      <c r="E32" s="28">
        <v>566.94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1280</v>
      </c>
      <c r="C33" s="25" t="s">
        <v>76</v>
      </c>
      <c r="D33" s="27">
        <v>0.0</v>
      </c>
      <c r="E33" s="28">
        <v>0.0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1281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1282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1283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1284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1285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1286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1287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1291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1293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1304</v>
      </c>
      <c r="C29" s="21" t="s">
        <v>76</v>
      </c>
      <c r="D29" s="23">
        <v>6.0</v>
      </c>
      <c r="E29" s="24">
        <v>566.94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1309</v>
      </c>
      <c r="C30" s="25" t="s">
        <v>76</v>
      </c>
      <c r="D30" s="27">
        <v>6.0</v>
      </c>
      <c r="E30" s="28"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1313</v>
      </c>
      <c r="C31" s="25" t="s">
        <v>76</v>
      </c>
      <c r="D31" s="27">
        <v>6.0</v>
      </c>
      <c r="E31" s="28">
        <v>566.94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1316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1318</v>
      </c>
      <c r="C33" s="25" t="s">
        <v>76</v>
      </c>
      <c r="D33" s="27">
        <v>6.0</v>
      </c>
      <c r="E33" s="28">
        <v>566.94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1319</v>
      </c>
      <c r="C34" s="25" t="s">
        <v>76</v>
      </c>
      <c r="D34" s="27">
        <v>6.0</v>
      </c>
      <c r="E34" s="28">
        <v>566.94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1320</v>
      </c>
      <c r="C35" s="25" t="s">
        <v>76</v>
      </c>
      <c r="D35" s="27">
        <v>6.0</v>
      </c>
      <c r="E35" s="28">
        <v>566.94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1321</v>
      </c>
      <c r="C36" s="25" t="s">
        <v>76</v>
      </c>
      <c r="D36" s="27">
        <v>3.0</v>
      </c>
      <c r="E36" s="28">
        <v>283.47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1322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1323</v>
      </c>
      <c r="C38" s="25" t="s">
        <v>76</v>
      </c>
      <c r="D38" s="27">
        <v>0.0</v>
      </c>
      <c r="E38" s="28">
        <v>0.0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1324</v>
      </c>
      <c r="C39" s="25" t="s">
        <v>76</v>
      </c>
      <c r="D39" s="27">
        <v>0.0</v>
      </c>
      <c r="E39" s="28">
        <v>0.0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1325</v>
      </c>
      <c r="C40" s="25" t="s">
        <v>76</v>
      </c>
      <c r="D40" s="27">
        <v>2.0</v>
      </c>
      <c r="E40" s="28">
        <v>188.98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1326</v>
      </c>
      <c r="C41" s="25" t="s">
        <v>76</v>
      </c>
      <c r="D41" s="27">
        <v>2.0</v>
      </c>
      <c r="E41" s="28">
        <v>188.98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1327</v>
      </c>
      <c r="C42" s="25" t="s">
        <v>76</v>
      </c>
      <c r="D42" s="27">
        <v>3.0</v>
      </c>
      <c r="E42" s="28">
        <v>283.47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37" t="s">
        <v>74</v>
      </c>
      <c r="B43" s="29" t="s">
        <v>1328</v>
      </c>
      <c r="C43" s="37" t="s">
        <v>76</v>
      </c>
      <c r="D43" s="39">
        <v>2.0</v>
      </c>
      <c r="E43" s="40">
        <v>188.98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1288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1289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134" t="s">
        <v>74</v>
      </c>
      <c r="B29" s="135" t="s">
        <v>1298</v>
      </c>
      <c r="C29" s="136" t="s">
        <v>76</v>
      </c>
      <c r="D29" s="137">
        <v>0.0</v>
      </c>
      <c r="E29" s="138">
        <v>0.0</v>
      </c>
      <c r="F29" s="139"/>
      <c r="G29" s="136"/>
      <c r="H29" s="136"/>
      <c r="I29" s="136" t="s">
        <v>78</v>
      </c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1"/>
    </row>
    <row r="30" ht="14.25" customHeight="1">
      <c r="A30" s="142" t="s">
        <v>74</v>
      </c>
      <c r="B30" s="143" t="s">
        <v>1306</v>
      </c>
      <c r="C30" s="144" t="s">
        <v>76</v>
      </c>
      <c r="D30" s="145">
        <v>0.0</v>
      </c>
      <c r="E30" s="146">
        <v>0.0</v>
      </c>
      <c r="F30" s="147"/>
      <c r="G30" s="144"/>
      <c r="H30" s="144"/>
      <c r="I30" s="144" t="s">
        <v>78</v>
      </c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9"/>
    </row>
    <row r="31" ht="14.25" customHeight="1">
      <c r="A31" s="142" t="s">
        <v>74</v>
      </c>
      <c r="B31" s="143" t="s">
        <v>1310</v>
      </c>
      <c r="C31" s="144" t="s">
        <v>76</v>
      </c>
      <c r="D31" s="145">
        <v>2.0</v>
      </c>
      <c r="E31" s="146">
        <v>188.98</v>
      </c>
      <c r="F31" s="147"/>
      <c r="G31" s="144"/>
      <c r="H31" s="144"/>
      <c r="I31" s="144" t="s">
        <v>78</v>
      </c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9"/>
    </row>
    <row r="32" ht="14.25" customHeight="1">
      <c r="A32" s="142" t="s">
        <v>74</v>
      </c>
      <c r="B32" s="143" t="s">
        <v>1311</v>
      </c>
      <c r="C32" s="144" t="s">
        <v>76</v>
      </c>
      <c r="D32" s="145">
        <v>2.0</v>
      </c>
      <c r="E32" s="146">
        <v>188.98</v>
      </c>
      <c r="F32" s="147"/>
      <c r="G32" s="144"/>
      <c r="H32" s="144"/>
      <c r="I32" s="144" t="s">
        <v>78</v>
      </c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9"/>
    </row>
    <row r="33" ht="14.25" customHeight="1">
      <c r="A33" s="142" t="s">
        <v>74</v>
      </c>
      <c r="B33" s="143" t="s">
        <v>1312</v>
      </c>
      <c r="C33" s="144" t="s">
        <v>76</v>
      </c>
      <c r="D33" s="145">
        <v>2.0</v>
      </c>
      <c r="E33" s="146">
        <v>188.98</v>
      </c>
      <c r="F33" s="147"/>
      <c r="G33" s="144"/>
      <c r="H33" s="144"/>
      <c r="I33" s="144" t="s">
        <v>78</v>
      </c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9"/>
    </row>
    <row r="34" ht="14.25" customHeight="1">
      <c r="A34" s="142" t="s">
        <v>74</v>
      </c>
      <c r="B34" s="143" t="s">
        <v>1314</v>
      </c>
      <c r="C34" s="144" t="s">
        <v>76</v>
      </c>
      <c r="D34" s="145">
        <v>2.0</v>
      </c>
      <c r="E34" s="146">
        <v>188.98</v>
      </c>
      <c r="F34" s="147"/>
      <c r="G34" s="144"/>
      <c r="H34" s="144"/>
      <c r="I34" s="144" t="s">
        <v>78</v>
      </c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9"/>
    </row>
    <row r="35" ht="14.25" customHeight="1">
      <c r="A35" s="142" t="s">
        <v>74</v>
      </c>
      <c r="B35" s="143" t="s">
        <v>1315</v>
      </c>
      <c r="C35" s="144" t="s">
        <v>76</v>
      </c>
      <c r="D35" s="145">
        <v>2.0</v>
      </c>
      <c r="E35" s="146">
        <v>188.98</v>
      </c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9"/>
    </row>
    <row r="36" ht="14.25" customHeight="1">
      <c r="A36" s="142" t="s">
        <v>74</v>
      </c>
      <c r="B36" s="150" t="s">
        <v>1317</v>
      </c>
      <c r="C36" s="144" t="s">
        <v>76</v>
      </c>
      <c r="D36" s="145">
        <v>2.0</v>
      </c>
      <c r="E36" s="146">
        <v>188.98</v>
      </c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2"/>
    </row>
    <row r="37" ht="14.25" customHeight="1">
      <c r="B37" s="48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7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1290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1292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1294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1295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1296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1297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1299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1300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1301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1302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1303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1305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1307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1308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1329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505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  <c r="C6" s="8" t="s">
        <v>1210</v>
      </c>
      <c r="D6" s="10">
        <f>IFERROR(__xludf.DUMMYFUNCTION("GOOGLEFINANCE(""CURRENCY:USDINR"")"),94.49050000000001)</f>
        <v>94.4905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53">
        <v>112.5</v>
      </c>
      <c r="G10" s="154">
        <f t="shared" ref="G10:G26" si="1">ROUND(F10*$D$6, 2)</f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53">
        <v>81.25</v>
      </c>
      <c r="G11" s="154">
        <f t="shared" si="1"/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53">
        <v>168.75</v>
      </c>
      <c r="G12" s="154">
        <f t="shared" si="1"/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53">
        <v>118.75</v>
      </c>
      <c r="G13" s="154">
        <f t="shared" si="1"/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53">
        <v>275.0</v>
      </c>
      <c r="G14" s="154">
        <f t="shared" si="1"/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53">
        <v>200.0</v>
      </c>
      <c r="G15" s="154">
        <f t="shared" si="1"/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53">
        <v>425.0</v>
      </c>
      <c r="G16" s="154">
        <f t="shared" si="1"/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53">
        <v>312.5</v>
      </c>
      <c r="G17" s="154">
        <f t="shared" si="1"/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53">
        <v>68.75</v>
      </c>
      <c r="G18" s="154">
        <f t="shared" si="1"/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53">
        <v>68.75</v>
      </c>
      <c r="G19" s="154">
        <f t="shared" si="1"/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53">
        <v>56.25</v>
      </c>
      <c r="G20" s="154">
        <f t="shared" si="1"/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53">
        <v>237.5</v>
      </c>
      <c r="G21" s="154">
        <f t="shared" si="1"/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53">
        <v>56.25</v>
      </c>
      <c r="G22" s="154">
        <f t="shared" si="1"/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53">
        <v>22.5</v>
      </c>
      <c r="G23" s="154">
        <f t="shared" si="1"/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53">
        <v>31.25</v>
      </c>
      <c r="G24" s="154">
        <f t="shared" si="1"/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53">
        <v>10.0</v>
      </c>
      <c r="G25" s="154">
        <f t="shared" si="1"/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53">
        <v>7.5</v>
      </c>
      <c r="G26" s="154">
        <f t="shared" si="1"/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1330</v>
      </c>
      <c r="C29" s="21" t="s">
        <v>76</v>
      </c>
      <c r="D29" s="155">
        <v>2.0</v>
      </c>
      <c r="E29" s="156">
        <f t="shared" ref="E29:E42" si="2">ROUND(D29*$D$6, 2)</f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1331</v>
      </c>
      <c r="C30" s="25" t="s">
        <v>76</v>
      </c>
      <c r="D30" s="157">
        <v>2.0</v>
      </c>
      <c r="E30" s="158">
        <f t="shared" si="2"/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1332</v>
      </c>
      <c r="C31" s="25" t="s">
        <v>76</v>
      </c>
      <c r="D31" s="157">
        <v>2.0</v>
      </c>
      <c r="E31" s="158">
        <f t="shared" si="2"/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1333</v>
      </c>
      <c r="C32" s="25" t="s">
        <v>76</v>
      </c>
      <c r="D32" s="157">
        <v>2.0</v>
      </c>
      <c r="E32" s="158">
        <f t="shared" si="2"/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1334</v>
      </c>
      <c r="C33" s="25" t="s">
        <v>76</v>
      </c>
      <c r="D33" s="157">
        <v>2.0</v>
      </c>
      <c r="E33" s="158">
        <f t="shared" si="2"/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1335</v>
      </c>
      <c r="C34" s="25" t="s">
        <v>76</v>
      </c>
      <c r="D34" s="157">
        <v>2.0</v>
      </c>
      <c r="E34" s="158">
        <f t="shared" si="2"/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1336</v>
      </c>
      <c r="C35" s="25" t="s">
        <v>76</v>
      </c>
      <c r="D35" s="157">
        <v>2.0</v>
      </c>
      <c r="E35" s="158">
        <f t="shared" si="2"/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1337</v>
      </c>
      <c r="C36" s="25" t="s">
        <v>76</v>
      </c>
      <c r="D36" s="157">
        <v>2.0</v>
      </c>
      <c r="E36" s="158">
        <f t="shared" si="2"/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1338</v>
      </c>
      <c r="C37" s="25" t="s">
        <v>76</v>
      </c>
      <c r="D37" s="157">
        <v>2.0</v>
      </c>
      <c r="E37" s="158">
        <f t="shared" si="2"/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1339</v>
      </c>
      <c r="C38" s="25" t="s">
        <v>76</v>
      </c>
      <c r="D38" s="157">
        <v>2.0</v>
      </c>
      <c r="E38" s="158">
        <f t="shared" si="2"/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1340</v>
      </c>
      <c r="C39" s="25" t="s">
        <v>76</v>
      </c>
      <c r="D39" s="157">
        <v>2.0</v>
      </c>
      <c r="E39" s="158">
        <f t="shared" si="2"/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1341</v>
      </c>
      <c r="C40" s="25" t="s">
        <v>76</v>
      </c>
      <c r="D40" s="157">
        <v>2.0</v>
      </c>
      <c r="E40" s="158">
        <f t="shared" si="2"/>
        <v>188.98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1342</v>
      </c>
      <c r="C41" s="25" t="s">
        <v>76</v>
      </c>
      <c r="D41" s="157">
        <v>2.0</v>
      </c>
      <c r="E41" s="158">
        <f t="shared" si="2"/>
        <v>188.98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37" t="s">
        <v>74</v>
      </c>
      <c r="B42" s="29" t="s">
        <v>1343</v>
      </c>
      <c r="C42" s="37" t="s">
        <v>76</v>
      </c>
      <c r="D42" s="159">
        <v>2.0</v>
      </c>
      <c r="E42" s="160">
        <f t="shared" si="2"/>
        <v>188.98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1344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1347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1351</v>
      </c>
      <c r="C29" s="21" t="s">
        <v>76</v>
      </c>
      <c r="D29" s="23">
        <v>2.0</v>
      </c>
      <c r="E29" s="24">
        <v>188.98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1352</v>
      </c>
      <c r="C30" s="25" t="s">
        <v>76</v>
      </c>
      <c r="D30" s="27">
        <v>2.0</v>
      </c>
      <c r="E30" s="28">
        <v>188.98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1355</v>
      </c>
      <c r="C31" s="25" t="s">
        <v>76</v>
      </c>
      <c r="D31" s="27">
        <v>2.0</v>
      </c>
      <c r="E31" s="28">
        <v>188.98</v>
      </c>
      <c r="F31" s="90"/>
      <c r="G31" s="91"/>
      <c r="H31" s="91"/>
      <c r="I31" s="25" t="s">
        <v>78</v>
      </c>
    </row>
    <row r="32" ht="14.25" customHeight="1">
      <c r="A32" s="37" t="s">
        <v>74</v>
      </c>
      <c r="B32" s="111" t="s">
        <v>1357</v>
      </c>
      <c r="C32" s="37" t="s">
        <v>76</v>
      </c>
      <c r="D32" s="39">
        <v>2.0</v>
      </c>
      <c r="E32" s="40">
        <v>188.98</v>
      </c>
      <c r="F32" s="112"/>
      <c r="G32" s="113"/>
      <c r="H32" s="113"/>
      <c r="I32" s="37" t="s">
        <v>78</v>
      </c>
    </row>
    <row r="33" ht="14.25" customHeight="1">
      <c r="A33" s="114"/>
      <c r="B33" s="114"/>
      <c r="C33" s="114"/>
      <c r="D33" s="114"/>
      <c r="E33" s="114"/>
      <c r="F33" s="115"/>
      <c r="G33" s="114"/>
      <c r="H33" s="114"/>
      <c r="I33" s="114"/>
    </row>
    <row r="34" ht="14.25" customHeight="1">
      <c r="A34" s="114"/>
      <c r="B34" s="114"/>
      <c r="C34" s="114"/>
      <c r="D34" s="114"/>
      <c r="E34" s="114"/>
      <c r="F34" s="115"/>
      <c r="G34" s="114"/>
      <c r="H34" s="114"/>
      <c r="I34" s="114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/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1345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1346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1350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1354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1358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1361</v>
      </c>
      <c r="C32" s="25" t="s">
        <v>76</v>
      </c>
      <c r="D32" s="27">
        <v>0.0</v>
      </c>
      <c r="E32" s="28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1363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1365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1367</v>
      </c>
      <c r="C35" s="25" t="s">
        <v>76</v>
      </c>
      <c r="D35" s="27">
        <v>0.0</v>
      </c>
      <c r="E35" s="28">
        <v>0.0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9" t="s">
        <v>1369</v>
      </c>
      <c r="C36" s="25" t="s">
        <v>76</v>
      </c>
      <c r="D36" s="27">
        <v>2.0</v>
      </c>
      <c r="E36" s="28">
        <v>188.98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6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1348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1349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1356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1360</v>
      </c>
      <c r="C30" s="25" t="s">
        <v>76</v>
      </c>
      <c r="D30" s="27">
        <v>0.0</v>
      </c>
      <c r="E30" s="28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1362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1364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1366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1368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1370</v>
      </c>
      <c r="C35" s="25" t="s">
        <v>76</v>
      </c>
      <c r="D35" s="27">
        <v>6.0</v>
      </c>
      <c r="E35" s="28">
        <v>566.94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1371</v>
      </c>
      <c r="C36" s="25" t="s">
        <v>76</v>
      </c>
      <c r="D36" s="27">
        <v>0.0</v>
      </c>
      <c r="E36" s="28">
        <v>0.0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1372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1373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1374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1375</v>
      </c>
      <c r="C40" s="37" t="s">
        <v>76</v>
      </c>
      <c r="D40" s="39">
        <v>5.0</v>
      </c>
      <c r="E40" s="40">
        <v>472.45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B41" s="48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1353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1359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1376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1377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1378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1379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1380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1381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1382</v>
      </c>
      <c r="C35" s="25" t="s">
        <v>76</v>
      </c>
      <c r="D35" s="27">
        <v>0.0</v>
      </c>
      <c r="E35" s="28">
        <v>0.0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1383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1384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1385</v>
      </c>
      <c r="C38" s="25" t="s">
        <v>76</v>
      </c>
      <c r="D38" s="27">
        <v>3.0</v>
      </c>
      <c r="E38" s="28">
        <v>283.47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1386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1387</v>
      </c>
      <c r="C40" s="37" t="s">
        <v>76</v>
      </c>
      <c r="D40" s="39">
        <v>2.0</v>
      </c>
      <c r="E40" s="40"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B41" s="48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1388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1389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1390</v>
      </c>
      <c r="C29" s="21" t="s">
        <v>76</v>
      </c>
      <c r="D29" s="23">
        <v>3.0</v>
      </c>
      <c r="E29" s="24">
        <v>283.47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1391</v>
      </c>
      <c r="C30" s="25" t="s">
        <v>76</v>
      </c>
      <c r="D30" s="27">
        <v>2.0</v>
      </c>
      <c r="E30" s="28">
        <v>188.98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1392</v>
      </c>
      <c r="C31" s="25" t="s">
        <v>76</v>
      </c>
      <c r="D31" s="27">
        <v>0.0</v>
      </c>
      <c r="E31" s="28">
        <v>0.0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1393</v>
      </c>
      <c r="C32" s="25" t="s">
        <v>76</v>
      </c>
      <c r="D32" s="27">
        <v>2.0</v>
      </c>
      <c r="E32" s="28">
        <v>188.98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1394</v>
      </c>
      <c r="C33" s="25" t="s">
        <v>76</v>
      </c>
      <c r="D33" s="27">
        <v>2.0</v>
      </c>
      <c r="E33" s="28">
        <v>188.98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1395</v>
      </c>
      <c r="C34" s="25" t="s">
        <v>76</v>
      </c>
      <c r="D34" s="27">
        <v>2.0</v>
      </c>
      <c r="E34" s="28">
        <v>188.98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1396</v>
      </c>
      <c r="C35" s="25" t="s">
        <v>76</v>
      </c>
      <c r="D35" s="27">
        <v>0.0</v>
      </c>
      <c r="E35" s="28">
        <v>0.0</v>
      </c>
    </row>
    <row r="36" ht="14.25" customHeight="1">
      <c r="A36" s="25" t="s">
        <v>74</v>
      </c>
      <c r="B36" s="26" t="s">
        <v>1397</v>
      </c>
      <c r="C36" s="25" t="s">
        <v>76</v>
      </c>
      <c r="D36" s="27">
        <v>2.0</v>
      </c>
      <c r="E36" s="28">
        <v>188.98</v>
      </c>
    </row>
    <row r="37" ht="14.25" customHeight="1">
      <c r="A37" s="25" t="s">
        <v>74</v>
      </c>
      <c r="B37" s="26" t="s">
        <v>1398</v>
      </c>
      <c r="C37" s="25" t="s">
        <v>76</v>
      </c>
      <c r="D37" s="27">
        <v>3.0</v>
      </c>
      <c r="E37" s="28">
        <v>283.47</v>
      </c>
    </row>
    <row r="38" ht="14.25" customHeight="1">
      <c r="A38" s="25" t="s">
        <v>74</v>
      </c>
      <c r="B38" s="26" t="s">
        <v>1399</v>
      </c>
      <c r="C38" s="25" t="s">
        <v>76</v>
      </c>
      <c r="D38" s="27">
        <v>0.0</v>
      </c>
      <c r="E38" s="28">
        <v>0.0</v>
      </c>
    </row>
    <row r="39" ht="14.25" customHeight="1">
      <c r="A39" s="25" t="s">
        <v>74</v>
      </c>
      <c r="B39" s="29" t="s">
        <v>1400</v>
      </c>
      <c r="C39" s="25" t="s">
        <v>76</v>
      </c>
      <c r="D39" s="27">
        <v>0.0</v>
      </c>
      <c r="E39" s="28">
        <v>0.0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1401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1402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1405</v>
      </c>
      <c r="C29" s="21" t="s">
        <v>76</v>
      </c>
      <c r="D29" s="23">
        <v>3.0</v>
      </c>
      <c r="E29" s="24">
        <v>283.47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1406</v>
      </c>
      <c r="C30" s="25" t="s">
        <v>76</v>
      </c>
      <c r="D30" s="27">
        <v>2.0</v>
      </c>
      <c r="E30" s="28">
        <v>188.98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1407</v>
      </c>
      <c r="C31" s="25" t="s">
        <v>76</v>
      </c>
      <c r="D31" s="27">
        <v>2.0</v>
      </c>
      <c r="E31" s="28">
        <v>188.98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1408</v>
      </c>
      <c r="C32" s="25" t="s">
        <v>76</v>
      </c>
      <c r="D32" s="27">
        <v>0.0</v>
      </c>
      <c r="E32" s="28">
        <v>0.0</v>
      </c>
      <c r="F32" s="90"/>
      <c r="G32" s="91"/>
      <c r="H32" s="91"/>
      <c r="I32" s="25" t="s">
        <v>78</v>
      </c>
    </row>
    <row r="33" ht="14.25" customHeight="1">
      <c r="A33" s="25" t="s">
        <v>74</v>
      </c>
      <c r="B33" s="89" t="s">
        <v>1409</v>
      </c>
      <c r="C33" s="25" t="s">
        <v>76</v>
      </c>
      <c r="D33" s="27">
        <v>2.0</v>
      </c>
      <c r="E33" s="28">
        <v>188.98</v>
      </c>
      <c r="F33" s="90"/>
      <c r="G33" s="91"/>
      <c r="H33" s="91"/>
      <c r="I33" s="25" t="s">
        <v>78</v>
      </c>
    </row>
    <row r="34" ht="14.25" customHeight="1">
      <c r="A34" s="37" t="s">
        <v>74</v>
      </c>
      <c r="B34" s="111" t="s">
        <v>1410</v>
      </c>
      <c r="C34" s="37" t="s">
        <v>76</v>
      </c>
      <c r="D34" s="39">
        <v>0.0</v>
      </c>
      <c r="E34" s="40">
        <v>0.0</v>
      </c>
      <c r="F34" s="112"/>
      <c r="G34" s="113"/>
      <c r="H34" s="113"/>
      <c r="I34" s="37" t="s">
        <v>78</v>
      </c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108" t="s">
        <v>1403</v>
      </c>
      <c r="B1" s="3"/>
      <c r="C1" s="3"/>
      <c r="D1" s="3"/>
      <c r="E1" s="3"/>
      <c r="F1" s="3"/>
      <c r="G1" s="3"/>
      <c r="H1" s="3"/>
      <c r="I1" s="5"/>
    </row>
    <row r="2" ht="14.25" customHeight="1">
      <c r="A2" s="73"/>
      <c r="B2" s="73"/>
      <c r="C2" s="73"/>
      <c r="D2" s="73"/>
      <c r="E2" s="73"/>
      <c r="F2" s="73"/>
      <c r="G2" s="73"/>
      <c r="H2" s="73"/>
      <c r="I2" s="73"/>
    </row>
    <row r="3" ht="14.25" customHeight="1">
      <c r="A3" s="74" t="s">
        <v>10</v>
      </c>
      <c r="B3" s="73" t="s">
        <v>1404</v>
      </c>
      <c r="C3" s="73"/>
      <c r="D3" s="73"/>
      <c r="E3" s="73"/>
      <c r="F3" s="73"/>
      <c r="G3" s="73"/>
      <c r="H3" s="73"/>
      <c r="I3" s="73"/>
    </row>
    <row r="4" ht="14.25" customHeight="1">
      <c r="A4" s="76" t="s">
        <v>19</v>
      </c>
      <c r="B4" s="75" t="s">
        <v>505</v>
      </c>
      <c r="C4" s="73"/>
      <c r="D4" s="73"/>
      <c r="E4" s="73"/>
      <c r="F4" s="73"/>
      <c r="G4" s="73"/>
      <c r="H4" s="73"/>
      <c r="I4" s="73"/>
    </row>
    <row r="5" ht="14.25" customHeight="1">
      <c r="A5" s="74" t="s">
        <v>24</v>
      </c>
      <c r="B5" s="73" t="s">
        <v>507</v>
      </c>
      <c r="C5" s="73"/>
      <c r="D5" s="73"/>
      <c r="E5" s="73"/>
      <c r="F5" s="73"/>
      <c r="G5" s="73"/>
      <c r="H5" s="73"/>
      <c r="I5" s="73"/>
    </row>
    <row r="6" ht="14.25" customHeight="1">
      <c r="A6" s="74" t="s">
        <v>508</v>
      </c>
      <c r="B6" s="77">
        <v>1.0</v>
      </c>
      <c r="C6" s="73"/>
      <c r="D6" s="73"/>
      <c r="E6" s="73"/>
      <c r="F6" s="73"/>
      <c r="G6" s="73"/>
      <c r="H6" s="73"/>
      <c r="I6" s="73"/>
    </row>
    <row r="7" ht="14.25" customHeight="1">
      <c r="A7" s="74" t="s">
        <v>29</v>
      </c>
      <c r="B7" s="73" t="s">
        <v>31</v>
      </c>
      <c r="C7" s="73"/>
      <c r="D7" s="73"/>
      <c r="E7" s="73"/>
      <c r="F7" s="73"/>
      <c r="G7" s="73"/>
      <c r="H7" s="73"/>
      <c r="I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</row>
    <row r="9" ht="14.25" customHeight="1">
      <c r="A9" s="78" t="s">
        <v>33</v>
      </c>
      <c r="B9" s="78" t="s">
        <v>39</v>
      </c>
      <c r="C9" s="78" t="s">
        <v>40</v>
      </c>
      <c r="D9" s="78" t="s">
        <v>42</v>
      </c>
      <c r="E9" s="78" t="s">
        <v>4</v>
      </c>
      <c r="F9" s="79" t="s">
        <v>43</v>
      </c>
      <c r="G9" s="79" t="s">
        <v>44</v>
      </c>
      <c r="H9" s="80"/>
      <c r="I9" s="78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81">
        <v>112.5</v>
      </c>
      <c r="G10" s="82">
        <v>10630.18</v>
      </c>
      <c r="H10" s="83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81">
        <v>81.25</v>
      </c>
      <c r="G11" s="82">
        <v>7677.35</v>
      </c>
      <c r="H11" s="83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81">
        <v>168.75</v>
      </c>
      <c r="G12" s="82">
        <v>15945.27</v>
      </c>
      <c r="H12" s="83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81">
        <v>118.75</v>
      </c>
      <c r="G13" s="82">
        <v>11220.75</v>
      </c>
      <c r="H13" s="83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81">
        <v>275.0</v>
      </c>
      <c r="G14" s="82">
        <v>25984.89</v>
      </c>
      <c r="H14" s="83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81">
        <v>200.0</v>
      </c>
      <c r="G15" s="82">
        <v>18898.1</v>
      </c>
      <c r="H15" s="83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81">
        <v>425.0</v>
      </c>
      <c r="G16" s="82">
        <v>40158.46</v>
      </c>
      <c r="H16" s="83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81">
        <v>312.5</v>
      </c>
      <c r="G17" s="82">
        <v>29528.28</v>
      </c>
      <c r="H17" s="83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81">
        <v>68.75</v>
      </c>
      <c r="G18" s="82">
        <v>6496.22</v>
      </c>
      <c r="H18" s="83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81">
        <v>68.75</v>
      </c>
      <c r="G19" s="82">
        <v>6496.22</v>
      </c>
      <c r="H19" s="83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81">
        <v>56.25</v>
      </c>
      <c r="G20" s="82">
        <v>5315.09</v>
      </c>
      <c r="H20" s="83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81">
        <v>237.5</v>
      </c>
      <c r="G21" s="82">
        <v>22441.49</v>
      </c>
      <c r="H21" s="83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81">
        <v>56.25</v>
      </c>
      <c r="G22" s="82">
        <v>5315.09</v>
      </c>
      <c r="H22" s="83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81">
        <v>22.5</v>
      </c>
      <c r="G23" s="82">
        <v>2126.04</v>
      </c>
      <c r="H23" s="83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81">
        <v>31.25</v>
      </c>
      <c r="G24" s="82">
        <v>2952.83</v>
      </c>
      <c r="H24" s="83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81">
        <v>10.0</v>
      </c>
      <c r="G25" s="82">
        <v>944.91</v>
      </c>
      <c r="H25" s="83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81">
        <v>7.5</v>
      </c>
      <c r="G26" s="82">
        <v>708.68</v>
      </c>
      <c r="H26" s="83"/>
      <c r="I26" s="4" t="s">
        <v>69</v>
      </c>
    </row>
    <row r="27" ht="14.25" customHeight="1">
      <c r="A27" s="83"/>
      <c r="B27" s="83"/>
      <c r="C27" s="83"/>
      <c r="D27" s="83"/>
      <c r="E27" s="83"/>
      <c r="F27" s="84"/>
      <c r="G27" s="83"/>
      <c r="H27" s="83"/>
      <c r="I27" s="83"/>
    </row>
    <row r="28" ht="14.25" customHeight="1">
      <c r="A28" s="78" t="s">
        <v>33</v>
      </c>
      <c r="B28" s="78" t="s">
        <v>73</v>
      </c>
      <c r="C28" s="78" t="s">
        <v>4</v>
      </c>
      <c r="D28" s="85" t="s">
        <v>43</v>
      </c>
      <c r="E28" s="85" t="s">
        <v>44</v>
      </c>
      <c r="F28" s="84"/>
      <c r="G28" s="83"/>
      <c r="H28" s="83"/>
      <c r="I28" s="83"/>
    </row>
    <row r="29" ht="14.25" customHeight="1">
      <c r="A29" s="21" t="s">
        <v>74</v>
      </c>
      <c r="B29" s="86" t="s">
        <v>1411</v>
      </c>
      <c r="C29" s="21" t="s">
        <v>76</v>
      </c>
      <c r="D29" s="23">
        <v>2.0</v>
      </c>
      <c r="E29" s="24">
        <v>188.98</v>
      </c>
      <c r="F29" s="87"/>
      <c r="G29" s="88"/>
      <c r="H29" s="88"/>
      <c r="I29" s="21" t="s">
        <v>78</v>
      </c>
    </row>
    <row r="30" ht="14.25" customHeight="1">
      <c r="A30" s="25" t="s">
        <v>74</v>
      </c>
      <c r="B30" s="89" t="s">
        <v>1412</v>
      </c>
      <c r="C30" s="25" t="s">
        <v>76</v>
      </c>
      <c r="D30" s="27">
        <v>2.0</v>
      </c>
      <c r="E30" s="28">
        <v>188.98</v>
      </c>
      <c r="F30" s="90"/>
      <c r="G30" s="91"/>
      <c r="H30" s="91"/>
      <c r="I30" s="25" t="s">
        <v>78</v>
      </c>
    </row>
    <row r="31" ht="14.25" customHeight="1">
      <c r="A31" s="25" t="s">
        <v>74</v>
      </c>
      <c r="B31" s="89" t="s">
        <v>1413</v>
      </c>
      <c r="C31" s="25" t="s">
        <v>76</v>
      </c>
      <c r="D31" s="27">
        <v>2.0</v>
      </c>
      <c r="E31" s="28">
        <v>188.98</v>
      </c>
      <c r="F31" s="90"/>
      <c r="G31" s="91"/>
      <c r="H31" s="91"/>
      <c r="I31" s="25" t="s">
        <v>78</v>
      </c>
    </row>
    <row r="32" ht="14.25" customHeight="1">
      <c r="A32" s="25" t="s">
        <v>74</v>
      </c>
      <c r="B32" s="89" t="s">
        <v>1414</v>
      </c>
      <c r="C32" s="25" t="s">
        <v>76</v>
      </c>
      <c r="D32" s="27">
        <v>2.0</v>
      </c>
      <c r="E32" s="28">
        <v>188.98</v>
      </c>
      <c r="F32" s="90"/>
      <c r="G32" s="91"/>
      <c r="H32" s="91"/>
      <c r="I32" s="25" t="s">
        <v>78</v>
      </c>
    </row>
    <row r="33" ht="14.25" customHeight="1">
      <c r="A33" s="37" t="s">
        <v>74</v>
      </c>
      <c r="B33" s="111" t="s">
        <v>1415</v>
      </c>
      <c r="C33" s="37" t="s">
        <v>76</v>
      </c>
      <c r="D33" s="39">
        <v>2.0</v>
      </c>
      <c r="E33" s="40">
        <v>188.98</v>
      </c>
      <c r="F33" s="112"/>
      <c r="G33" s="113"/>
      <c r="H33" s="113"/>
      <c r="I33" s="37" t="s">
        <v>78</v>
      </c>
    </row>
    <row r="34" ht="14.25" customHeight="1">
      <c r="A34" s="114"/>
      <c r="B34" s="114"/>
      <c r="C34" s="114"/>
      <c r="D34" s="114"/>
      <c r="E34" s="114"/>
      <c r="F34" s="115"/>
      <c r="G34" s="114"/>
      <c r="H34" s="114"/>
      <c r="I34" s="114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1416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1417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134" t="s">
        <v>74</v>
      </c>
      <c r="B29" s="135" t="s">
        <v>1418</v>
      </c>
      <c r="C29" s="136" t="s">
        <v>76</v>
      </c>
      <c r="D29" s="137">
        <v>2.0</v>
      </c>
      <c r="E29" s="138">
        <v>188.98</v>
      </c>
      <c r="F29" s="139"/>
      <c r="G29" s="136"/>
      <c r="H29" s="136"/>
      <c r="I29" s="136" t="s">
        <v>78</v>
      </c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1"/>
    </row>
    <row r="30" ht="14.25" customHeight="1">
      <c r="A30" s="142" t="s">
        <v>74</v>
      </c>
      <c r="B30" s="143" t="s">
        <v>1419</v>
      </c>
      <c r="C30" s="144" t="s">
        <v>76</v>
      </c>
      <c r="D30" s="145">
        <v>2.0</v>
      </c>
      <c r="E30" s="146">
        <v>188.98</v>
      </c>
      <c r="F30" s="147"/>
      <c r="G30" s="144"/>
      <c r="H30" s="144"/>
      <c r="I30" s="144" t="s">
        <v>78</v>
      </c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9"/>
    </row>
    <row r="31" ht="14.25" customHeight="1">
      <c r="A31" s="142" t="s">
        <v>74</v>
      </c>
      <c r="B31" s="143" t="s">
        <v>1420</v>
      </c>
      <c r="C31" s="144" t="s">
        <v>76</v>
      </c>
      <c r="D31" s="145">
        <v>6.0</v>
      </c>
      <c r="E31" s="146">
        <v>566.94</v>
      </c>
      <c r="F31" s="147"/>
      <c r="G31" s="144"/>
      <c r="H31" s="144"/>
      <c r="I31" s="144" t="s">
        <v>78</v>
      </c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9"/>
    </row>
    <row r="32" ht="14.25" customHeight="1">
      <c r="A32" s="142" t="s">
        <v>74</v>
      </c>
      <c r="B32" s="143" t="s">
        <v>1421</v>
      </c>
      <c r="C32" s="144" t="s">
        <v>76</v>
      </c>
      <c r="D32" s="145">
        <v>2.0</v>
      </c>
      <c r="E32" s="146">
        <v>188.98</v>
      </c>
      <c r="F32" s="147"/>
      <c r="G32" s="144"/>
      <c r="H32" s="144"/>
      <c r="I32" s="144" t="s">
        <v>78</v>
      </c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9"/>
    </row>
    <row r="33" ht="14.25" customHeight="1">
      <c r="A33" s="142" t="s">
        <v>74</v>
      </c>
      <c r="B33" s="143" t="s">
        <v>1422</v>
      </c>
      <c r="C33" s="144" t="s">
        <v>76</v>
      </c>
      <c r="D33" s="145">
        <v>2.0</v>
      </c>
      <c r="E33" s="146">
        <v>188.98</v>
      </c>
      <c r="F33" s="147"/>
      <c r="G33" s="144"/>
      <c r="H33" s="144"/>
      <c r="I33" s="144" t="s">
        <v>78</v>
      </c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9"/>
    </row>
    <row r="34" ht="14.25" customHeight="1">
      <c r="A34" s="161" t="s">
        <v>74</v>
      </c>
      <c r="B34" s="150" t="s">
        <v>1423</v>
      </c>
      <c r="C34" s="162" t="s">
        <v>76</v>
      </c>
      <c r="D34" s="163">
        <v>2.0</v>
      </c>
      <c r="E34" s="164">
        <v>188.98</v>
      </c>
      <c r="F34" s="165"/>
      <c r="G34" s="162"/>
      <c r="H34" s="162"/>
      <c r="I34" s="162" t="s">
        <v>78</v>
      </c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2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1424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1425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1426</v>
      </c>
      <c r="C29" s="21" t="s">
        <v>76</v>
      </c>
      <c r="D29" s="23">
        <v>0.0</v>
      </c>
      <c r="E29" s="2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1427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1428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1429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1430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1431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1432</v>
      </c>
      <c r="C35" s="25" t="s">
        <v>76</v>
      </c>
      <c r="D35" s="27">
        <v>2.0</v>
      </c>
      <c r="E35" s="28"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1433</v>
      </c>
      <c r="C36" s="25" t="s">
        <v>76</v>
      </c>
      <c r="D36" s="27">
        <v>6.0</v>
      </c>
      <c r="E36" s="28">
        <v>566.94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1434</v>
      </c>
      <c r="C37" s="25" t="s">
        <v>76</v>
      </c>
      <c r="D37" s="27">
        <v>40.0</v>
      </c>
      <c r="E37" s="28">
        <v>3779.62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1435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9" t="s">
        <v>1436</v>
      </c>
      <c r="C39" s="25" t="s">
        <v>76</v>
      </c>
      <c r="D39" s="27">
        <v>2.0</v>
      </c>
      <c r="E39" s="28">
        <v>188.98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1437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1438</v>
      </c>
    </row>
    <row r="4" ht="14.25" customHeight="1">
      <c r="A4" s="9" t="s">
        <v>19</v>
      </c>
      <c r="B4" s="8" t="s">
        <v>1439</v>
      </c>
    </row>
    <row r="5" ht="14.25" customHeight="1">
      <c r="A5" s="7" t="s">
        <v>24</v>
      </c>
      <c r="B5" s="8" t="s">
        <v>1440</v>
      </c>
    </row>
    <row r="6" ht="14.25" customHeight="1">
      <c r="A6" s="9" t="s">
        <v>1441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5"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5"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5"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5"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5"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5"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5"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5"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5"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5"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5"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5"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5"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5"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5"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5"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5"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1444</v>
      </c>
      <c r="C29" s="21" t="s">
        <v>76</v>
      </c>
      <c r="D29" s="23">
        <v>10.0</v>
      </c>
      <c r="E29" s="24">
        <v>944.91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1445</v>
      </c>
      <c r="C30" s="25" t="s">
        <v>76</v>
      </c>
      <c r="D30" s="27">
        <v>0.0</v>
      </c>
      <c r="E30" s="28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1447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1449</v>
      </c>
      <c r="C32" s="25" t="s">
        <v>76</v>
      </c>
      <c r="D32" s="27">
        <v>8.0</v>
      </c>
      <c r="E32" s="28">
        <v>755.92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1450</v>
      </c>
      <c r="C33" s="25" t="s">
        <v>76</v>
      </c>
      <c r="D33" s="27">
        <v>0.0</v>
      </c>
      <c r="E33" s="28">
        <v>0.0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1452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1454</v>
      </c>
      <c r="C35" s="25" t="s">
        <v>76</v>
      </c>
      <c r="D35" s="27">
        <v>3.5</v>
      </c>
      <c r="E35" s="28">
        <v>330.72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1456</v>
      </c>
      <c r="C36" s="25" t="s">
        <v>76</v>
      </c>
      <c r="D36" s="27">
        <v>10.0</v>
      </c>
      <c r="E36" s="28">
        <v>944.91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1459</v>
      </c>
      <c r="C37" s="25" t="s">
        <v>76</v>
      </c>
      <c r="D37" s="27">
        <v>4.0</v>
      </c>
      <c r="E37" s="28">
        <v>377.96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1460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1461</v>
      </c>
      <c r="C39" s="25" t="s">
        <v>76</v>
      </c>
      <c r="D39" s="27">
        <v>6.0</v>
      </c>
      <c r="E39" s="28">
        <v>566.94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1462</v>
      </c>
      <c r="C40" s="25" t="s">
        <v>76</v>
      </c>
      <c r="D40" s="27">
        <v>15.0</v>
      </c>
      <c r="E40" s="28">
        <v>1417.36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1463</v>
      </c>
      <c r="C41" s="25" t="s">
        <v>76</v>
      </c>
      <c r="D41" s="27">
        <v>30.0</v>
      </c>
      <c r="E41" s="28">
        <v>2834.72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1465</v>
      </c>
      <c r="C42" s="25" t="s">
        <v>76</v>
      </c>
      <c r="D42" s="27">
        <v>20.0</v>
      </c>
      <c r="E42" s="28">
        <v>1889.81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9" t="s">
        <v>1467</v>
      </c>
      <c r="C43" s="25" t="s">
        <v>76</v>
      </c>
      <c r="D43" s="27">
        <v>25.0</v>
      </c>
      <c r="E43" s="28">
        <v>2362.26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1442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1443</v>
      </c>
    </row>
    <row r="4" ht="14.25" customHeight="1">
      <c r="A4" s="9" t="s">
        <v>19</v>
      </c>
      <c r="B4" s="8" t="s">
        <v>1439</v>
      </c>
    </row>
    <row r="5" ht="14.25" customHeight="1">
      <c r="A5" s="7" t="s">
        <v>24</v>
      </c>
      <c r="B5" s="8" t="s">
        <v>1440</v>
      </c>
    </row>
    <row r="6" ht="14.25" customHeight="1">
      <c r="A6" s="9" t="s">
        <v>1441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5"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5"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5"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5"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5"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5"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5"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5"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5"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5"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5"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5"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5"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5"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5"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5"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5"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1446</v>
      </c>
      <c r="C29" s="21" t="s">
        <v>76</v>
      </c>
      <c r="D29" s="23">
        <v>10.0</v>
      </c>
      <c r="E29" s="24">
        <v>944.91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1448</v>
      </c>
      <c r="C30" s="25" t="s">
        <v>76</v>
      </c>
      <c r="D30" s="27">
        <v>30.0</v>
      </c>
      <c r="E30" s="28">
        <v>2834.72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1451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1453</v>
      </c>
      <c r="C32" s="25" t="s">
        <v>76</v>
      </c>
      <c r="D32" s="27">
        <v>55.0</v>
      </c>
      <c r="E32" s="28">
        <v>5196.98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1455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1457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1458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1464</v>
      </c>
      <c r="C36" s="25" t="s">
        <v>76</v>
      </c>
      <c r="D36" s="27">
        <v>30.0</v>
      </c>
      <c r="E36" s="28">
        <v>2834.72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1466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1468</v>
      </c>
      <c r="C38" s="25" t="s">
        <v>76</v>
      </c>
      <c r="D38" s="27">
        <v>5.0</v>
      </c>
      <c r="E38" s="28">
        <v>472.45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9" t="s">
        <v>1469</v>
      </c>
      <c r="C39" s="25" t="s">
        <v>76</v>
      </c>
      <c r="D39" s="27">
        <v>10.0</v>
      </c>
      <c r="E39" s="28">
        <v>944.91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1470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1471</v>
      </c>
    </row>
    <row r="4" ht="14.25" customHeight="1">
      <c r="A4" s="9" t="s">
        <v>19</v>
      </c>
      <c r="B4" s="8" t="s">
        <v>1439</v>
      </c>
    </row>
    <row r="5" ht="14.25" customHeight="1">
      <c r="A5" s="7" t="s">
        <v>24</v>
      </c>
      <c r="B5" s="8" t="s">
        <v>1440</v>
      </c>
    </row>
    <row r="6" ht="14.25" customHeight="1">
      <c r="A6" s="9" t="s">
        <v>1441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5"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5"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5"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5"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5"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5"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5"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5"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5"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5"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5"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5"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5"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5"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5"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5"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5"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1472</v>
      </c>
      <c r="C29" s="21" t="s">
        <v>76</v>
      </c>
      <c r="D29" s="23">
        <v>0.0</v>
      </c>
      <c r="E29" s="24">
        <v>0.0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1473</v>
      </c>
      <c r="C30" s="25" t="s">
        <v>76</v>
      </c>
      <c r="D30" s="27">
        <v>4.0</v>
      </c>
      <c r="E30" s="28">
        <v>377.96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1474</v>
      </c>
      <c r="C31" s="25" t="s">
        <v>76</v>
      </c>
      <c r="D31" s="27">
        <v>5.0</v>
      </c>
      <c r="E31" s="28">
        <v>472.45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1475</v>
      </c>
      <c r="C32" s="25" t="s">
        <v>76</v>
      </c>
      <c r="D32" s="27">
        <v>6.0</v>
      </c>
      <c r="E32" s="28">
        <v>566.94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1476</v>
      </c>
      <c r="C33" s="25" t="s">
        <v>76</v>
      </c>
      <c r="D33" s="27">
        <v>5.0</v>
      </c>
      <c r="E33" s="28">
        <v>472.45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1477</v>
      </c>
      <c r="C34" s="25" t="s">
        <v>76</v>
      </c>
      <c r="D34" s="27">
        <v>6.0</v>
      </c>
      <c r="E34" s="28">
        <v>566.94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1478</v>
      </c>
      <c r="C35" s="25" t="s">
        <v>76</v>
      </c>
      <c r="D35" s="27">
        <v>0.0</v>
      </c>
      <c r="E35" s="28">
        <v>0.0</v>
      </c>
    </row>
    <row r="36" ht="14.25" customHeight="1">
      <c r="A36" s="25" t="s">
        <v>74</v>
      </c>
      <c r="B36" s="26" t="s">
        <v>1479</v>
      </c>
      <c r="C36" s="25" t="s">
        <v>76</v>
      </c>
      <c r="D36" s="27">
        <v>10.0</v>
      </c>
      <c r="E36" s="28">
        <v>944.91</v>
      </c>
    </row>
    <row r="37" ht="14.25" customHeight="1">
      <c r="A37" s="25" t="s">
        <v>74</v>
      </c>
      <c r="B37" s="26" t="s">
        <v>1480</v>
      </c>
      <c r="C37" s="25" t="s">
        <v>76</v>
      </c>
      <c r="D37" s="27">
        <v>5.0</v>
      </c>
      <c r="E37" s="28">
        <v>472.45</v>
      </c>
    </row>
    <row r="38" ht="14.25" customHeight="1">
      <c r="A38" s="25" t="s">
        <v>74</v>
      </c>
      <c r="B38" s="26" t="s">
        <v>1481</v>
      </c>
      <c r="C38" s="25" t="s">
        <v>76</v>
      </c>
      <c r="D38" s="27">
        <v>5.0</v>
      </c>
      <c r="E38" s="28">
        <v>472.45</v>
      </c>
    </row>
    <row r="39" ht="14.25" customHeight="1">
      <c r="A39" s="25" t="s">
        <v>74</v>
      </c>
      <c r="B39" s="26" t="s">
        <v>1482</v>
      </c>
      <c r="C39" s="25" t="s">
        <v>76</v>
      </c>
      <c r="D39" s="27">
        <v>5.0</v>
      </c>
      <c r="E39" s="28">
        <v>472.45</v>
      </c>
    </row>
    <row r="40" ht="14.25" customHeight="1">
      <c r="A40" s="25" t="s">
        <v>74</v>
      </c>
      <c r="B40" s="26" t="s">
        <v>1483</v>
      </c>
      <c r="C40" s="25" t="s">
        <v>76</v>
      </c>
      <c r="D40" s="27">
        <v>0.0</v>
      </c>
      <c r="E40" s="28">
        <v>0.0</v>
      </c>
    </row>
    <row r="41" ht="14.25" customHeight="1">
      <c r="A41" s="25" t="s">
        <v>74</v>
      </c>
      <c r="B41" s="26" t="s">
        <v>1484</v>
      </c>
      <c r="C41" s="25" t="s">
        <v>76</v>
      </c>
      <c r="D41" s="27">
        <v>15.0</v>
      </c>
      <c r="E41" s="28">
        <v>1417.36</v>
      </c>
    </row>
    <row r="42" ht="14.25" customHeight="1">
      <c r="A42" s="25" t="s">
        <v>74</v>
      </c>
      <c r="B42" s="26" t="s">
        <v>1485</v>
      </c>
      <c r="C42" s="25" t="s">
        <v>76</v>
      </c>
      <c r="D42" s="27">
        <v>0.0</v>
      </c>
      <c r="E42" s="28">
        <v>0.0</v>
      </c>
    </row>
    <row r="43" ht="14.25" customHeight="1">
      <c r="A43" s="25" t="s">
        <v>74</v>
      </c>
      <c r="B43" s="29" t="s">
        <v>1486</v>
      </c>
      <c r="C43" s="25" t="s">
        <v>76</v>
      </c>
      <c r="D43" s="27">
        <v>15.0</v>
      </c>
      <c r="E43" s="28">
        <v>1417.36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1487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1488</v>
      </c>
    </row>
    <row r="4" ht="14.25" customHeight="1">
      <c r="A4" s="9" t="s">
        <v>19</v>
      </c>
      <c r="B4" s="8" t="s">
        <v>1439</v>
      </c>
    </row>
    <row r="5" ht="14.25" customHeight="1">
      <c r="A5" s="7" t="s">
        <v>24</v>
      </c>
      <c r="B5" s="8" t="s">
        <v>1440</v>
      </c>
    </row>
    <row r="6" ht="14.25" customHeight="1">
      <c r="A6" s="9" t="s">
        <v>1441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5"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5"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5"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5"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5"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5"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5"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5"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5"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5"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5"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5"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5"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5"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5"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5"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5"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1489</v>
      </c>
      <c r="C29" s="21" t="s">
        <v>76</v>
      </c>
      <c r="D29" s="23">
        <v>5.0</v>
      </c>
      <c r="E29" s="24">
        <v>472.45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1490</v>
      </c>
      <c r="C30" s="25" t="s">
        <v>76</v>
      </c>
      <c r="D30" s="27">
        <v>5.0</v>
      </c>
      <c r="E30" s="28">
        <v>472.45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1491</v>
      </c>
      <c r="C31" s="25" t="s">
        <v>76</v>
      </c>
      <c r="D31" s="27">
        <v>5.0</v>
      </c>
      <c r="E31" s="28">
        <v>472.45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1492</v>
      </c>
      <c r="C32" s="25" t="s">
        <v>76</v>
      </c>
      <c r="D32" s="27">
        <v>0.0</v>
      </c>
      <c r="E32" s="28">
        <v>0.0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1493</v>
      </c>
      <c r="C33" s="25" t="s">
        <v>76</v>
      </c>
      <c r="D33" s="27">
        <v>5.0</v>
      </c>
      <c r="E33" s="28">
        <v>472.45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1495</v>
      </c>
      <c r="C34" s="25" t="s">
        <v>76</v>
      </c>
      <c r="D34" s="27">
        <v>55.0</v>
      </c>
      <c r="E34" s="28">
        <v>5196.98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1496</v>
      </c>
      <c r="C35" s="25" t="s">
        <v>76</v>
      </c>
      <c r="D35" s="27">
        <v>5.0</v>
      </c>
      <c r="E35" s="28">
        <v>472.45</v>
      </c>
    </row>
    <row r="36" ht="14.25" customHeight="1">
      <c r="A36" s="25" t="s">
        <v>74</v>
      </c>
      <c r="B36" s="26" t="s">
        <v>1497</v>
      </c>
      <c r="C36" s="25" t="s">
        <v>76</v>
      </c>
      <c r="D36" s="27">
        <v>5.0</v>
      </c>
      <c r="E36" s="28">
        <v>472.45</v>
      </c>
    </row>
    <row r="37" ht="14.25" customHeight="1">
      <c r="A37" s="25" t="s">
        <v>74</v>
      </c>
      <c r="B37" s="26" t="s">
        <v>1499</v>
      </c>
      <c r="C37" s="25" t="s">
        <v>76</v>
      </c>
      <c r="D37" s="27">
        <v>5.0</v>
      </c>
      <c r="E37" s="28">
        <v>472.45</v>
      </c>
    </row>
    <row r="38" ht="14.25" customHeight="1">
      <c r="A38" s="25" t="s">
        <v>74</v>
      </c>
      <c r="B38" s="26" t="s">
        <v>1500</v>
      </c>
      <c r="C38" s="25" t="s">
        <v>76</v>
      </c>
      <c r="D38" s="27">
        <v>5.0</v>
      </c>
      <c r="E38" s="28">
        <v>472.45</v>
      </c>
    </row>
    <row r="39" ht="14.25" customHeight="1">
      <c r="A39" s="25" t="s">
        <v>74</v>
      </c>
      <c r="B39" s="26" t="s">
        <v>1501</v>
      </c>
      <c r="C39" s="25" t="s">
        <v>76</v>
      </c>
      <c r="D39" s="27">
        <v>55.0</v>
      </c>
      <c r="E39" s="28">
        <v>5196.98</v>
      </c>
    </row>
    <row r="40" ht="14.25" customHeight="1">
      <c r="A40" s="25" t="s">
        <v>74</v>
      </c>
      <c r="B40" s="26" t="s">
        <v>1502</v>
      </c>
      <c r="C40" s="25" t="s">
        <v>76</v>
      </c>
      <c r="D40" s="27">
        <v>55.0</v>
      </c>
      <c r="E40" s="28">
        <v>5196.98</v>
      </c>
    </row>
    <row r="41" ht="14.25" customHeight="1">
      <c r="A41" s="25" t="s">
        <v>74</v>
      </c>
      <c r="B41" s="26" t="s">
        <v>1503</v>
      </c>
      <c r="C41" s="25" t="s">
        <v>76</v>
      </c>
      <c r="D41" s="27">
        <v>5.0</v>
      </c>
      <c r="E41" s="28">
        <v>472.45</v>
      </c>
    </row>
    <row r="42" ht="14.25" customHeight="1">
      <c r="A42" s="25" t="s">
        <v>74</v>
      </c>
      <c r="B42" s="29" t="s">
        <v>1504</v>
      </c>
      <c r="C42" s="25" t="s">
        <v>76</v>
      </c>
      <c r="D42" s="27">
        <v>0.0</v>
      </c>
      <c r="E42" s="28">
        <v>0.0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1494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1498</v>
      </c>
    </row>
    <row r="4" ht="14.25" customHeight="1">
      <c r="A4" s="9" t="s">
        <v>19</v>
      </c>
      <c r="B4" s="8" t="s">
        <v>1439</v>
      </c>
    </row>
    <row r="5" ht="14.25" customHeight="1">
      <c r="A5" s="7" t="s">
        <v>24</v>
      </c>
      <c r="B5" s="8" t="s">
        <v>1440</v>
      </c>
    </row>
    <row r="6" ht="14.25" customHeight="1">
      <c r="A6" s="9" t="s">
        <v>1441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5"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5"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5"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5"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5"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5"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5"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5"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5"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5"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5"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5"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5"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5"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5"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5"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5"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1505</v>
      </c>
      <c r="C29" s="21" t="s">
        <v>76</v>
      </c>
      <c r="D29" s="23">
        <v>0.0</v>
      </c>
      <c r="E29" s="24">
        <v>0.0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1506</v>
      </c>
      <c r="C30" s="25" t="s">
        <v>76</v>
      </c>
      <c r="D30" s="27">
        <v>5.0</v>
      </c>
      <c r="E30" s="28">
        <v>472.45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1507</v>
      </c>
      <c r="C31" s="25" t="s">
        <v>76</v>
      </c>
      <c r="D31" s="27">
        <v>0.0</v>
      </c>
      <c r="E31" s="28">
        <v>0.0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1508</v>
      </c>
      <c r="C32" s="25" t="s">
        <v>76</v>
      </c>
      <c r="D32" s="27">
        <v>5.0</v>
      </c>
      <c r="E32" s="28">
        <v>472.45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1509</v>
      </c>
      <c r="C33" s="25" t="s">
        <v>76</v>
      </c>
      <c r="D33" s="27">
        <v>5.0</v>
      </c>
      <c r="E33" s="28">
        <v>472.45</v>
      </c>
    </row>
    <row r="34" ht="14.25" customHeight="1">
      <c r="A34" s="25" t="s">
        <v>74</v>
      </c>
      <c r="B34" s="26" t="s">
        <v>1510</v>
      </c>
      <c r="C34" s="25" t="s">
        <v>76</v>
      </c>
      <c r="D34" s="27">
        <v>5.0</v>
      </c>
      <c r="E34" s="28">
        <v>472.45</v>
      </c>
    </row>
    <row r="35" ht="14.25" customHeight="1">
      <c r="A35" s="25" t="s">
        <v>74</v>
      </c>
      <c r="B35" s="26" t="s">
        <v>1511</v>
      </c>
      <c r="C35" s="25" t="s">
        <v>76</v>
      </c>
      <c r="D35" s="27">
        <v>5.0</v>
      </c>
      <c r="E35" s="28">
        <v>472.45</v>
      </c>
    </row>
    <row r="36" ht="14.25" customHeight="1">
      <c r="A36" s="25" t="s">
        <v>74</v>
      </c>
      <c r="B36" s="26" t="s">
        <v>1512</v>
      </c>
      <c r="C36" s="25" t="s">
        <v>76</v>
      </c>
      <c r="D36" s="27">
        <v>5.0</v>
      </c>
      <c r="E36" s="28">
        <v>472.45</v>
      </c>
    </row>
    <row r="37" ht="14.25" customHeight="1">
      <c r="A37" s="25" t="s">
        <v>74</v>
      </c>
      <c r="B37" s="26" t="s">
        <v>1513</v>
      </c>
      <c r="C37" s="25" t="s">
        <v>76</v>
      </c>
      <c r="D37" s="27">
        <v>55.0</v>
      </c>
      <c r="E37" s="28">
        <v>5196.98</v>
      </c>
    </row>
    <row r="38" ht="14.25" customHeight="1">
      <c r="A38" s="25" t="s">
        <v>74</v>
      </c>
      <c r="B38" s="26" t="s">
        <v>1514</v>
      </c>
      <c r="C38" s="25" t="s">
        <v>76</v>
      </c>
      <c r="D38" s="27">
        <v>5.0</v>
      </c>
      <c r="E38" s="28">
        <v>472.45</v>
      </c>
    </row>
    <row r="39" ht="14.25" customHeight="1">
      <c r="A39" s="25" t="s">
        <v>74</v>
      </c>
      <c r="B39" s="26" t="s">
        <v>1515</v>
      </c>
      <c r="C39" s="25" t="s">
        <v>76</v>
      </c>
      <c r="D39" s="27">
        <v>10.0</v>
      </c>
      <c r="E39" s="28">
        <v>944.91</v>
      </c>
    </row>
    <row r="40" ht="14.25" customHeight="1">
      <c r="A40" s="25" t="s">
        <v>74</v>
      </c>
      <c r="B40" s="26" t="s">
        <v>1516</v>
      </c>
      <c r="C40" s="25" t="s">
        <v>76</v>
      </c>
      <c r="D40" s="27">
        <v>5.0</v>
      </c>
      <c r="E40" s="28">
        <v>472.45</v>
      </c>
    </row>
    <row r="41" ht="14.25" customHeight="1">
      <c r="A41" s="25" t="s">
        <v>74</v>
      </c>
      <c r="B41" s="29" t="s">
        <v>1517</v>
      </c>
      <c r="C41" s="25" t="s">
        <v>76</v>
      </c>
      <c r="D41" s="27">
        <v>5.0</v>
      </c>
      <c r="E41" s="28">
        <v>472.45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1518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1519</v>
      </c>
    </row>
    <row r="4" ht="14.25" customHeight="1">
      <c r="A4" s="9" t="s">
        <v>19</v>
      </c>
      <c r="B4" s="8" t="s">
        <v>1439</v>
      </c>
    </row>
    <row r="5" ht="14.25" customHeight="1">
      <c r="A5" s="7" t="s">
        <v>24</v>
      </c>
      <c r="B5" s="8" t="s">
        <v>1440</v>
      </c>
    </row>
    <row r="6" ht="14.25" customHeight="1">
      <c r="A6" s="9" t="s">
        <v>1441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5"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5"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5"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5"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5"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5"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5"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5"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5"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5"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5"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5"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5"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5"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5"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5"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5"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1530</v>
      </c>
      <c r="C29" s="21" t="s">
        <v>76</v>
      </c>
      <c r="D29" s="23">
        <v>0.0</v>
      </c>
      <c r="E29" s="24">
        <v>0.0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1532</v>
      </c>
      <c r="C30" s="25" t="s">
        <v>76</v>
      </c>
      <c r="D30" s="27">
        <v>5.0</v>
      </c>
      <c r="E30" s="28">
        <v>472.45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1535</v>
      </c>
      <c r="C31" s="25" t="s">
        <v>76</v>
      </c>
      <c r="D31" s="27">
        <v>0.0</v>
      </c>
      <c r="E31" s="28">
        <v>0.0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1541</v>
      </c>
      <c r="C32" s="25" t="s">
        <v>76</v>
      </c>
      <c r="D32" s="27">
        <v>0.0</v>
      </c>
      <c r="E32" s="28">
        <v>0.0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1556</v>
      </c>
      <c r="C33" s="25" t="s">
        <v>76</v>
      </c>
      <c r="D33" s="27">
        <v>5.0</v>
      </c>
      <c r="E33" s="28">
        <v>472.45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1558</v>
      </c>
      <c r="C34" s="25" t="s">
        <v>76</v>
      </c>
      <c r="D34" s="27">
        <v>50.0</v>
      </c>
      <c r="E34" s="28">
        <v>4724.53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1561</v>
      </c>
      <c r="C35" s="25" t="s">
        <v>76</v>
      </c>
      <c r="D35" s="27">
        <v>50.0</v>
      </c>
      <c r="E35" s="28">
        <v>4724.53</v>
      </c>
    </row>
    <row r="36" ht="14.25" customHeight="1">
      <c r="A36" s="25" t="s">
        <v>74</v>
      </c>
      <c r="B36" s="26" t="s">
        <v>1563</v>
      </c>
      <c r="C36" s="25" t="s">
        <v>76</v>
      </c>
      <c r="D36" s="27">
        <v>5.0</v>
      </c>
      <c r="E36" s="28">
        <v>472.45</v>
      </c>
    </row>
    <row r="37" ht="14.25" customHeight="1">
      <c r="A37" s="25" t="s">
        <v>74</v>
      </c>
      <c r="B37" s="26" t="s">
        <v>1564</v>
      </c>
      <c r="C37" s="25" t="s">
        <v>76</v>
      </c>
      <c r="D37" s="27">
        <v>5.0</v>
      </c>
      <c r="E37" s="28">
        <v>472.45</v>
      </c>
    </row>
    <row r="38" ht="14.25" customHeight="1">
      <c r="A38" s="25" t="s">
        <v>74</v>
      </c>
      <c r="B38" s="26" t="s">
        <v>1566</v>
      </c>
      <c r="C38" s="25" t="s">
        <v>76</v>
      </c>
      <c r="D38" s="27">
        <v>5.0</v>
      </c>
      <c r="E38" s="28">
        <v>472.45</v>
      </c>
    </row>
    <row r="39" ht="14.25" customHeight="1">
      <c r="A39" s="25" t="s">
        <v>74</v>
      </c>
      <c r="B39" s="26" t="s">
        <v>1568</v>
      </c>
      <c r="C39" s="25" t="s">
        <v>76</v>
      </c>
      <c r="D39" s="27">
        <v>5.0</v>
      </c>
      <c r="E39" s="28">
        <v>472.45</v>
      </c>
    </row>
    <row r="40" ht="14.25" customHeight="1">
      <c r="A40" s="25" t="s">
        <v>74</v>
      </c>
      <c r="B40" s="26" t="s">
        <v>1569</v>
      </c>
      <c r="C40" s="25" t="s">
        <v>76</v>
      </c>
      <c r="D40" s="27">
        <v>5.0</v>
      </c>
      <c r="E40" s="28">
        <v>472.45</v>
      </c>
    </row>
    <row r="41" ht="14.25" customHeight="1">
      <c r="A41" s="25" t="s">
        <v>74</v>
      </c>
      <c r="B41" s="26" t="s">
        <v>1571</v>
      </c>
      <c r="C41" s="25" t="s">
        <v>76</v>
      </c>
      <c r="D41" s="27">
        <v>5.0</v>
      </c>
      <c r="E41" s="28">
        <v>472.45</v>
      </c>
    </row>
    <row r="42" ht="14.25" customHeight="1">
      <c r="A42" s="25" t="s">
        <v>74</v>
      </c>
      <c r="B42" s="26" t="s">
        <v>1572</v>
      </c>
      <c r="C42" s="25" t="s">
        <v>76</v>
      </c>
      <c r="D42" s="27">
        <v>55.0</v>
      </c>
      <c r="E42" s="28">
        <v>5196.98</v>
      </c>
    </row>
    <row r="43" ht="14.25" customHeight="1">
      <c r="A43" s="25" t="s">
        <v>74</v>
      </c>
      <c r="B43" s="26" t="s">
        <v>1574</v>
      </c>
      <c r="C43" s="25" t="s">
        <v>76</v>
      </c>
      <c r="D43" s="27">
        <v>5.0</v>
      </c>
      <c r="E43" s="28">
        <v>472.45</v>
      </c>
    </row>
    <row r="44" ht="14.25" customHeight="1">
      <c r="A44" s="25" t="s">
        <v>74</v>
      </c>
      <c r="B44" s="26" t="s">
        <v>1575</v>
      </c>
      <c r="C44" s="25" t="s">
        <v>76</v>
      </c>
      <c r="D44" s="27">
        <v>0.0</v>
      </c>
      <c r="E44" s="28">
        <v>0.0</v>
      </c>
    </row>
    <row r="45" ht="14.25" customHeight="1">
      <c r="A45" s="25" t="s">
        <v>74</v>
      </c>
      <c r="B45" s="29" t="s">
        <v>1577</v>
      </c>
      <c r="C45" s="25" t="s">
        <v>76</v>
      </c>
      <c r="D45" s="27">
        <v>5.0</v>
      </c>
      <c r="E45" s="28">
        <v>472.45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5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1520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1521</v>
      </c>
    </row>
    <row r="4" ht="14.25" customHeight="1">
      <c r="A4" s="9" t="s">
        <v>19</v>
      </c>
      <c r="B4" s="8" t="s">
        <v>1439</v>
      </c>
    </row>
    <row r="5" ht="14.25" customHeight="1">
      <c r="A5" s="7" t="s">
        <v>24</v>
      </c>
      <c r="B5" s="8" t="s">
        <v>1440</v>
      </c>
    </row>
    <row r="6" ht="14.25" customHeight="1">
      <c r="A6" s="7" t="s">
        <v>1522</v>
      </c>
      <c r="B6" s="10">
        <v>1.0</v>
      </c>
      <c r="C6" s="8" t="s">
        <v>1210</v>
      </c>
      <c r="D6" s="10">
        <f>IFERROR(__xludf.DUMMYFUNCTION("GOOGLEFINANCE(""CURRENCY:USDINR"")"),94.49050000000001)</f>
        <v>94.4905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66">
        <v>72.0</v>
      </c>
      <c r="G10" s="167">
        <f t="shared" ref="G10:G26" si="1">ROUND(F10*$D$6, 2)</f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66">
        <v>54.0</v>
      </c>
      <c r="G11" s="167">
        <f t="shared" si="1"/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66">
        <v>108.0</v>
      </c>
      <c r="G12" s="167">
        <f t="shared" si="1"/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66">
        <v>78.0</v>
      </c>
      <c r="G13" s="167">
        <f t="shared" si="1"/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66">
        <v>180.0</v>
      </c>
      <c r="G14" s="167">
        <f t="shared" si="1"/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66">
        <v>132.0</v>
      </c>
      <c r="G15" s="167">
        <f t="shared" si="1"/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66">
        <v>180.0</v>
      </c>
      <c r="G16" s="167">
        <f t="shared" si="1"/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66">
        <v>132.0</v>
      </c>
      <c r="G17" s="167">
        <f t="shared" si="1"/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66">
        <v>36.0</v>
      </c>
      <c r="G18" s="167">
        <f t="shared" si="1"/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66">
        <v>36.0</v>
      </c>
      <c r="G19" s="167">
        <f t="shared" si="1"/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66">
        <v>30.0</v>
      </c>
      <c r="G20" s="167">
        <f t="shared" si="1"/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66">
        <v>108.0</v>
      </c>
      <c r="G21" s="167">
        <f t="shared" si="1"/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66">
        <v>15.0</v>
      </c>
      <c r="G22" s="167">
        <f t="shared" si="1"/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66">
        <v>15.0</v>
      </c>
      <c r="G23" s="167">
        <f t="shared" si="1"/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66">
        <v>24.0</v>
      </c>
      <c r="G24" s="167">
        <f t="shared" si="1"/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66">
        <v>6.0</v>
      </c>
      <c r="G25" s="167">
        <f t="shared" si="1"/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66">
        <v>3.0</v>
      </c>
      <c r="G26" s="167">
        <f t="shared" si="1"/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1528</v>
      </c>
      <c r="C29" s="21" t="s">
        <v>76</v>
      </c>
      <c r="D29" s="168">
        <v>2.0</v>
      </c>
      <c r="E29" s="169">
        <f t="shared" ref="E29:E47" si="2">ROUND(D29*$D$6, 2)</f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1529</v>
      </c>
      <c r="C30" s="25" t="s">
        <v>76</v>
      </c>
      <c r="D30" s="170">
        <v>2.0</v>
      </c>
      <c r="E30" s="171">
        <f t="shared" si="2"/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1533</v>
      </c>
      <c r="C31" s="25" t="s">
        <v>76</v>
      </c>
      <c r="D31" s="170">
        <v>2.0</v>
      </c>
      <c r="E31" s="171">
        <f t="shared" si="2"/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1534</v>
      </c>
      <c r="C32" s="25" t="s">
        <v>76</v>
      </c>
      <c r="D32" s="170">
        <v>2.0</v>
      </c>
      <c r="E32" s="171">
        <f t="shared" si="2"/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1537</v>
      </c>
      <c r="C33" s="25" t="s">
        <v>76</v>
      </c>
      <c r="D33" s="170">
        <v>2.0</v>
      </c>
      <c r="E33" s="171">
        <f t="shared" si="2"/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1543</v>
      </c>
      <c r="C34" s="25" t="s">
        <v>76</v>
      </c>
      <c r="D34" s="170">
        <v>2.0</v>
      </c>
      <c r="E34" s="171">
        <f t="shared" si="2"/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1544</v>
      </c>
      <c r="C35" s="25" t="s">
        <v>76</v>
      </c>
      <c r="D35" s="170">
        <v>2.0</v>
      </c>
      <c r="E35" s="171">
        <f t="shared" si="2"/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1560</v>
      </c>
      <c r="C36" s="25" t="s">
        <v>76</v>
      </c>
      <c r="D36" s="170">
        <v>2.0</v>
      </c>
      <c r="E36" s="171">
        <f t="shared" si="2"/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1562</v>
      </c>
      <c r="C37" s="25" t="s">
        <v>76</v>
      </c>
      <c r="D37" s="170">
        <v>2.0</v>
      </c>
      <c r="E37" s="171">
        <f t="shared" si="2"/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1565</v>
      </c>
      <c r="C38" s="25" t="s">
        <v>76</v>
      </c>
      <c r="D38" s="170">
        <v>2.0</v>
      </c>
      <c r="E38" s="171">
        <f t="shared" si="2"/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1567</v>
      </c>
      <c r="C39" s="25" t="s">
        <v>76</v>
      </c>
      <c r="D39" s="170">
        <v>2.0</v>
      </c>
      <c r="E39" s="171">
        <f t="shared" si="2"/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1570</v>
      </c>
      <c r="C40" s="25" t="s">
        <v>76</v>
      </c>
      <c r="D40" s="170">
        <v>2.0</v>
      </c>
      <c r="E40" s="171">
        <f t="shared" si="2"/>
        <v>188.98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1573</v>
      </c>
      <c r="C41" s="25" t="s">
        <v>76</v>
      </c>
      <c r="D41" s="170">
        <v>2.0</v>
      </c>
      <c r="E41" s="171">
        <f t="shared" si="2"/>
        <v>188.98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1576</v>
      </c>
      <c r="C42" s="25" t="s">
        <v>76</v>
      </c>
      <c r="D42" s="170">
        <v>2.0</v>
      </c>
      <c r="E42" s="171">
        <f t="shared" si="2"/>
        <v>188.98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1578</v>
      </c>
      <c r="C43" s="25" t="s">
        <v>76</v>
      </c>
      <c r="D43" s="170">
        <v>2.0</v>
      </c>
      <c r="E43" s="171">
        <f t="shared" si="2"/>
        <v>188.98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6" t="s">
        <v>1579</v>
      </c>
      <c r="C44" s="25" t="s">
        <v>76</v>
      </c>
      <c r="D44" s="170">
        <v>2.0</v>
      </c>
      <c r="E44" s="171">
        <f t="shared" si="2"/>
        <v>188.98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25" t="s">
        <v>74</v>
      </c>
      <c r="B45" s="26" t="s">
        <v>1580</v>
      </c>
      <c r="C45" s="25" t="s">
        <v>76</v>
      </c>
      <c r="D45" s="170">
        <v>2.0</v>
      </c>
      <c r="E45" s="171">
        <f t="shared" si="2"/>
        <v>188.98</v>
      </c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25" t="s">
        <v>74</v>
      </c>
      <c r="B46" s="26" t="s">
        <v>1581</v>
      </c>
      <c r="C46" s="25" t="s">
        <v>76</v>
      </c>
      <c r="D46" s="170">
        <v>2.0</v>
      </c>
      <c r="E46" s="171">
        <f t="shared" si="2"/>
        <v>188.98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25" t="s">
        <v>74</v>
      </c>
      <c r="B47" s="29" t="s">
        <v>1582</v>
      </c>
      <c r="C47" s="25" t="s">
        <v>76</v>
      </c>
      <c r="D47" s="170">
        <v>2.0</v>
      </c>
      <c r="E47" s="171">
        <f t="shared" si="2"/>
        <v>188.98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7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1523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1524</v>
      </c>
    </row>
    <row r="4" ht="14.25" customHeight="1">
      <c r="A4" s="9" t="s">
        <v>19</v>
      </c>
      <c r="B4" s="8" t="s">
        <v>1525</v>
      </c>
    </row>
    <row r="5" ht="14.25" customHeight="1">
      <c r="A5" s="7" t="s">
        <v>24</v>
      </c>
      <c r="B5" s="8" t="s">
        <v>1526</v>
      </c>
    </row>
    <row r="6" ht="14.25" customHeight="1">
      <c r="A6" s="9" t="s">
        <v>1527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5"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5"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5"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5"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5"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5"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5"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5"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5"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5"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5"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5"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5"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5"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5"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5"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5"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1531</v>
      </c>
      <c r="C29" s="21" t="s">
        <v>76</v>
      </c>
      <c r="D29" s="23">
        <v>8.0</v>
      </c>
      <c r="E29" s="24">
        <v>755.92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1536</v>
      </c>
      <c r="C30" s="25" t="s">
        <v>76</v>
      </c>
      <c r="D30" s="27">
        <v>3.0</v>
      </c>
      <c r="E30" s="28">
        <v>283.47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1538</v>
      </c>
      <c r="C31" s="25" t="s">
        <v>76</v>
      </c>
      <c r="D31" s="27">
        <v>1.5</v>
      </c>
      <c r="E31" s="28">
        <v>141.74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1540</v>
      </c>
      <c r="C32" s="25" t="s">
        <v>76</v>
      </c>
      <c r="D32" s="27">
        <v>8.0</v>
      </c>
      <c r="E32" s="28">
        <v>755.92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1542</v>
      </c>
      <c r="C33" s="25" t="s">
        <v>76</v>
      </c>
      <c r="D33" s="27">
        <v>8.0</v>
      </c>
      <c r="E33" s="28">
        <v>755.92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1545</v>
      </c>
      <c r="C34" s="25" t="s">
        <v>76</v>
      </c>
      <c r="D34" s="27">
        <v>12.0</v>
      </c>
      <c r="E34" s="28">
        <v>1133.89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1546</v>
      </c>
      <c r="C35" s="25" t="s">
        <v>76</v>
      </c>
      <c r="D35" s="27">
        <v>2.5</v>
      </c>
      <c r="E35" s="28">
        <v>236.23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1547</v>
      </c>
      <c r="C36" s="25" t="s">
        <v>76</v>
      </c>
      <c r="D36" s="27">
        <v>0.0</v>
      </c>
      <c r="E36" s="28">
        <v>0.0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1548</v>
      </c>
      <c r="C37" s="25" t="s">
        <v>76</v>
      </c>
      <c r="D37" s="27">
        <v>3.0</v>
      </c>
      <c r="E37" s="28">
        <v>283.47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1549</v>
      </c>
      <c r="C38" s="25" t="s">
        <v>76</v>
      </c>
      <c r="D38" s="27">
        <v>0.0</v>
      </c>
      <c r="E38" s="28">
        <v>0.0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1550</v>
      </c>
      <c r="C39" s="25" t="s">
        <v>76</v>
      </c>
      <c r="D39" s="27">
        <v>0.0</v>
      </c>
      <c r="E39" s="28">
        <v>0.0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1551</v>
      </c>
      <c r="C40" s="25" t="s">
        <v>76</v>
      </c>
      <c r="D40" s="27">
        <v>0.0</v>
      </c>
      <c r="E40" s="28">
        <v>0.0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1552</v>
      </c>
      <c r="C41" s="25" t="s">
        <v>76</v>
      </c>
      <c r="D41" s="27">
        <v>3.0</v>
      </c>
      <c r="E41" s="28">
        <v>283.47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1553</v>
      </c>
      <c r="C42" s="25" t="s">
        <v>76</v>
      </c>
      <c r="D42" s="27">
        <v>22.0</v>
      </c>
      <c r="E42" s="28">
        <v>2078.79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1554</v>
      </c>
      <c r="C43" s="25" t="s">
        <v>76</v>
      </c>
      <c r="D43" s="27">
        <v>1.0</v>
      </c>
      <c r="E43" s="28">
        <v>94.49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6" t="s">
        <v>1555</v>
      </c>
      <c r="C44" s="25" t="s">
        <v>76</v>
      </c>
      <c r="D44" s="27">
        <v>0.0</v>
      </c>
      <c r="E44" s="28">
        <v>0.0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25" t="s">
        <v>74</v>
      </c>
      <c r="B45" s="29" t="s">
        <v>1557</v>
      </c>
      <c r="C45" s="25" t="s">
        <v>76</v>
      </c>
      <c r="D45" s="27">
        <v>0.0</v>
      </c>
      <c r="E45" s="28">
        <v>0.0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5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1539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1559</v>
      </c>
    </row>
    <row r="4" ht="14.25" customHeight="1">
      <c r="A4" s="9" t="s">
        <v>19</v>
      </c>
      <c r="B4" s="8" t="s">
        <v>1525</v>
      </c>
    </row>
    <row r="5" ht="14.25" customHeight="1">
      <c r="A5" s="7" t="s">
        <v>24</v>
      </c>
      <c r="B5" s="8" t="s">
        <v>1526</v>
      </c>
    </row>
    <row r="6" ht="14.25" customHeight="1">
      <c r="A6" s="9" t="s">
        <v>1527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5"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5"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5"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5"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5"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5"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5"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5"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5"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5"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5"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5"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5"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5"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5"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5"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5"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1583</v>
      </c>
      <c r="C29" s="21" t="s">
        <v>76</v>
      </c>
      <c r="D29" s="23">
        <v>3.0</v>
      </c>
      <c r="E29" s="24">
        <v>283.47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1584</v>
      </c>
      <c r="C30" s="25" t="s">
        <v>76</v>
      </c>
      <c r="D30" s="27">
        <v>2.5</v>
      </c>
      <c r="E30" s="28">
        <v>236.23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1585</v>
      </c>
      <c r="C31" s="25" t="s">
        <v>76</v>
      </c>
      <c r="D31" s="27">
        <v>0.0</v>
      </c>
      <c r="E31" s="28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1586</v>
      </c>
      <c r="C32" s="25" t="s">
        <v>76</v>
      </c>
      <c r="D32" s="27">
        <v>2.5</v>
      </c>
      <c r="E32" s="28">
        <v>236.23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1587</v>
      </c>
      <c r="C33" s="25" t="s">
        <v>76</v>
      </c>
      <c r="D33" s="27">
        <v>3.0</v>
      </c>
      <c r="E33" s="28">
        <v>283.47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1588</v>
      </c>
      <c r="C34" s="25" t="s">
        <v>76</v>
      </c>
      <c r="D34" s="27">
        <v>3.0</v>
      </c>
      <c r="E34" s="28">
        <v>283.47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1589</v>
      </c>
      <c r="C35" s="25" t="s">
        <v>76</v>
      </c>
      <c r="D35" s="27">
        <v>3.0</v>
      </c>
      <c r="E35" s="28">
        <v>283.47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1590</v>
      </c>
      <c r="C36" s="25" t="s">
        <v>76</v>
      </c>
      <c r="D36" s="27">
        <v>3.0</v>
      </c>
      <c r="E36" s="28">
        <v>283.47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1591</v>
      </c>
      <c r="C37" s="25" t="s">
        <v>76</v>
      </c>
      <c r="D37" s="27">
        <v>3.0</v>
      </c>
      <c r="E37" s="28">
        <v>283.47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1592</v>
      </c>
      <c r="C38" s="25" t="s">
        <v>76</v>
      </c>
      <c r="D38" s="27">
        <v>3.0</v>
      </c>
      <c r="E38" s="28">
        <v>283.47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1593</v>
      </c>
      <c r="C39" s="25" t="s">
        <v>76</v>
      </c>
      <c r="D39" s="27">
        <v>3.0</v>
      </c>
      <c r="E39" s="28">
        <v>283.47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1594</v>
      </c>
      <c r="C40" s="25" t="s">
        <v>76</v>
      </c>
      <c r="D40" s="27">
        <v>3.0</v>
      </c>
      <c r="E40" s="28">
        <v>283.47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9" t="s">
        <v>1595</v>
      </c>
      <c r="C41" s="25" t="s">
        <v>76</v>
      </c>
      <c r="D41" s="27">
        <v>3.0</v>
      </c>
      <c r="E41" s="28">
        <v>283.47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1596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1597</v>
      </c>
    </row>
    <row r="4" ht="14.25" customHeight="1">
      <c r="A4" s="9" t="s">
        <v>19</v>
      </c>
      <c r="B4" s="8" t="s">
        <v>1525</v>
      </c>
    </row>
    <row r="5" ht="14.25" customHeight="1">
      <c r="A5" s="7" t="s">
        <v>24</v>
      </c>
      <c r="B5" s="8" t="s">
        <v>1526</v>
      </c>
    </row>
    <row r="6" ht="14.25" customHeight="1">
      <c r="A6" s="9" t="s">
        <v>1527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5"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5"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5"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5"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5"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5"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5"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5"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5"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5"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5"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5"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5"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5"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5"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5"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5"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1607</v>
      </c>
      <c r="C29" s="21" t="s">
        <v>76</v>
      </c>
      <c r="D29" s="23">
        <v>8.0</v>
      </c>
      <c r="E29" s="24">
        <v>755.92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1612</v>
      </c>
      <c r="C30" s="25" t="s">
        <v>76</v>
      </c>
      <c r="D30" s="27">
        <v>1.0</v>
      </c>
      <c r="E30" s="28">
        <v>94.49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1615</v>
      </c>
      <c r="C31" s="25" t="s">
        <v>76</v>
      </c>
      <c r="D31" s="27">
        <v>0.0</v>
      </c>
      <c r="E31" s="28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1617</v>
      </c>
      <c r="C32" s="25" t="s">
        <v>76</v>
      </c>
      <c r="D32" s="27">
        <v>3.0</v>
      </c>
      <c r="E32" s="28">
        <v>283.47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1619</v>
      </c>
      <c r="C33" s="25" t="s">
        <v>76</v>
      </c>
      <c r="D33" s="27">
        <v>1.0</v>
      </c>
      <c r="E33" s="28">
        <v>94.49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1623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1625</v>
      </c>
      <c r="C35" s="25" t="s">
        <v>76</v>
      </c>
      <c r="D35" s="27">
        <v>2.5</v>
      </c>
      <c r="E35" s="28">
        <v>236.23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1629</v>
      </c>
      <c r="C36" s="25" t="s">
        <v>76</v>
      </c>
      <c r="D36" s="27">
        <v>3.0</v>
      </c>
      <c r="E36" s="28">
        <v>283.47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1631</v>
      </c>
      <c r="C37" s="25" t="s">
        <v>76</v>
      </c>
      <c r="D37" s="27">
        <v>3.0</v>
      </c>
      <c r="E37" s="28">
        <v>283.47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1634</v>
      </c>
      <c r="C38" s="25" t="s">
        <v>76</v>
      </c>
      <c r="D38" s="27">
        <v>3.0</v>
      </c>
      <c r="E38" s="28">
        <v>283.47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1635</v>
      </c>
      <c r="C39" s="25" t="s">
        <v>76</v>
      </c>
      <c r="D39" s="27">
        <v>3.0</v>
      </c>
      <c r="E39" s="28">
        <v>283.47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1636</v>
      </c>
      <c r="C40" s="25" t="s">
        <v>76</v>
      </c>
      <c r="D40" s="27">
        <v>3.0</v>
      </c>
      <c r="E40" s="28">
        <v>283.47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1637</v>
      </c>
      <c r="C41" s="25" t="s">
        <v>76</v>
      </c>
      <c r="D41" s="27">
        <v>3.0</v>
      </c>
      <c r="E41" s="28">
        <v>283.47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1639</v>
      </c>
      <c r="C42" s="25" t="s">
        <v>76</v>
      </c>
      <c r="D42" s="27">
        <v>3.0</v>
      </c>
      <c r="E42" s="28">
        <v>283.47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1640</v>
      </c>
      <c r="C43" s="25" t="s">
        <v>76</v>
      </c>
      <c r="D43" s="27">
        <v>3.0</v>
      </c>
      <c r="E43" s="28">
        <v>283.47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6" t="s">
        <v>1642</v>
      </c>
      <c r="C44" s="25" t="s">
        <v>76</v>
      </c>
      <c r="D44" s="27">
        <v>3.0</v>
      </c>
      <c r="E44" s="28">
        <v>283.47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25" t="s">
        <v>74</v>
      </c>
      <c r="B45" s="29" t="s">
        <v>1644</v>
      </c>
      <c r="C45" s="25" t="s">
        <v>76</v>
      </c>
      <c r="D45" s="27">
        <v>0.0</v>
      </c>
      <c r="E45" s="28">
        <v>0.0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5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1598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1599</v>
      </c>
    </row>
    <row r="4" ht="14.25" customHeight="1">
      <c r="A4" s="9" t="s">
        <v>19</v>
      </c>
      <c r="B4" s="8" t="s">
        <v>1525</v>
      </c>
    </row>
    <row r="5" ht="14.25" customHeight="1">
      <c r="A5" s="7" t="s">
        <v>24</v>
      </c>
      <c r="B5" s="8" t="s">
        <v>1526</v>
      </c>
    </row>
    <row r="6" ht="14.25" customHeight="1">
      <c r="A6" s="9" t="s">
        <v>1527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5"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5"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5"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5"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5"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5"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5"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5"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5"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5"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5"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5"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5"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5"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5"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5"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5"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1605</v>
      </c>
      <c r="C29" s="21" t="s">
        <v>76</v>
      </c>
      <c r="D29" s="23">
        <v>3.0</v>
      </c>
      <c r="E29" s="24">
        <v>283.47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1606</v>
      </c>
      <c r="C30" s="25" t="s">
        <v>76</v>
      </c>
      <c r="D30" s="27">
        <v>3.0</v>
      </c>
      <c r="E30" s="28">
        <v>283.47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1608</v>
      </c>
      <c r="C31" s="25" t="s">
        <v>76</v>
      </c>
      <c r="D31" s="27">
        <v>3.0</v>
      </c>
      <c r="E31" s="28">
        <v>283.47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1609</v>
      </c>
      <c r="C32" s="25" t="s">
        <v>76</v>
      </c>
      <c r="D32" s="27">
        <v>3.0</v>
      </c>
      <c r="E32" s="28">
        <v>283.47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1610</v>
      </c>
      <c r="C33" s="25" t="s">
        <v>76</v>
      </c>
      <c r="D33" s="27">
        <v>3.0</v>
      </c>
      <c r="E33" s="28">
        <v>283.47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1611</v>
      </c>
      <c r="C34" s="25" t="s">
        <v>76</v>
      </c>
      <c r="D34" s="27">
        <v>3.0</v>
      </c>
      <c r="E34" s="28">
        <v>283.47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1613</v>
      </c>
      <c r="C35" s="25" t="s">
        <v>76</v>
      </c>
      <c r="D35" s="27">
        <v>35.0</v>
      </c>
      <c r="E35" s="28">
        <v>3307.17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1614</v>
      </c>
      <c r="C36" s="25" t="s">
        <v>76</v>
      </c>
      <c r="D36" s="27">
        <v>3.0</v>
      </c>
      <c r="E36" s="28">
        <v>283.47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1616</v>
      </c>
      <c r="C37" s="25" t="s">
        <v>76</v>
      </c>
      <c r="D37" s="27">
        <v>3.0</v>
      </c>
      <c r="E37" s="28">
        <v>283.47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1618</v>
      </c>
      <c r="C38" s="25" t="s">
        <v>76</v>
      </c>
      <c r="D38" s="27">
        <v>3.0</v>
      </c>
      <c r="E38" s="28">
        <v>283.47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1620</v>
      </c>
      <c r="C39" s="25" t="s">
        <v>76</v>
      </c>
      <c r="D39" s="27">
        <v>3.0</v>
      </c>
      <c r="E39" s="28">
        <v>283.47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1621</v>
      </c>
      <c r="C40" s="25" t="s">
        <v>76</v>
      </c>
      <c r="D40" s="27">
        <v>3.0</v>
      </c>
      <c r="E40" s="28">
        <v>283.47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1624</v>
      </c>
      <c r="C41" s="25" t="s">
        <v>76</v>
      </c>
      <c r="D41" s="27">
        <v>3.0</v>
      </c>
      <c r="E41" s="28">
        <v>283.47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1626</v>
      </c>
      <c r="C42" s="25" t="s">
        <v>76</v>
      </c>
      <c r="D42" s="27">
        <v>3.0</v>
      </c>
      <c r="E42" s="28">
        <v>283.47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1628</v>
      </c>
      <c r="C43" s="25" t="s">
        <v>76</v>
      </c>
      <c r="D43" s="27">
        <v>5.0</v>
      </c>
      <c r="E43" s="28">
        <v>472.45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9" t="s">
        <v>1630</v>
      </c>
      <c r="C44" s="25" t="s">
        <v>76</v>
      </c>
      <c r="D44" s="27">
        <v>3.0</v>
      </c>
      <c r="E44" s="28">
        <v>283.47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1600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1601</v>
      </c>
    </row>
    <row r="4" ht="14.25" customHeight="1">
      <c r="A4" s="9" t="s">
        <v>19</v>
      </c>
      <c r="B4" s="8" t="s">
        <v>1602</v>
      </c>
    </row>
    <row r="5" ht="14.25" customHeight="1">
      <c r="A5" s="7" t="s">
        <v>24</v>
      </c>
      <c r="B5" s="8" t="s">
        <v>1603</v>
      </c>
    </row>
    <row r="6" ht="14.25" customHeight="1">
      <c r="A6" s="9" t="s">
        <v>1604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90.0</v>
      </c>
      <c r="G10" s="15">
        <v>8504.15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70.0</v>
      </c>
      <c r="G11" s="15">
        <v>6614.34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150.0</v>
      </c>
      <c r="G12" s="15">
        <v>14173.58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110.0</v>
      </c>
      <c r="G13" s="15">
        <v>10393.96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260.0</v>
      </c>
      <c r="G14" s="15">
        <v>24567.53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190.0</v>
      </c>
      <c r="G15" s="15">
        <v>17953.2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350.0</v>
      </c>
      <c r="G16" s="15">
        <v>33071.68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250.0</v>
      </c>
      <c r="G17" s="15">
        <v>23622.63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50.0</v>
      </c>
      <c r="G18" s="15">
        <v>4724.53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50.0</v>
      </c>
      <c r="G19" s="15">
        <v>4724.53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45.0</v>
      </c>
      <c r="G20" s="15">
        <v>4252.07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150.0</v>
      </c>
      <c r="G21" s="15">
        <v>14173.58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5"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5"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30.0</v>
      </c>
      <c r="G24" s="15">
        <v>2834.72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5"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1622</v>
      </c>
      <c r="C29" s="21" t="s">
        <v>76</v>
      </c>
      <c r="D29" s="23">
        <v>22.0</v>
      </c>
      <c r="E29" s="24">
        <v>2078.79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1627</v>
      </c>
      <c r="C30" s="25" t="s">
        <v>76</v>
      </c>
      <c r="D30" s="27">
        <v>8.0</v>
      </c>
      <c r="E30" s="28">
        <v>755.92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1632</v>
      </c>
      <c r="C31" s="25" t="s">
        <v>76</v>
      </c>
      <c r="D31" s="27">
        <v>8.0</v>
      </c>
      <c r="E31" s="28">
        <v>755.92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1633</v>
      </c>
      <c r="C32" s="25" t="s">
        <v>76</v>
      </c>
      <c r="D32" s="27">
        <v>5.0</v>
      </c>
      <c r="E32" s="28">
        <v>472.45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1643</v>
      </c>
      <c r="C33" s="25" t="s">
        <v>76</v>
      </c>
      <c r="D33" s="27">
        <v>8.0</v>
      </c>
      <c r="E33" s="28">
        <v>755.92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1645</v>
      </c>
      <c r="C34" s="25" t="s">
        <v>76</v>
      </c>
      <c r="D34" s="27">
        <v>3.0</v>
      </c>
      <c r="E34" s="28">
        <v>283.47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1646</v>
      </c>
      <c r="C35" s="25" t="s">
        <v>76</v>
      </c>
      <c r="D35" s="27">
        <v>8.0</v>
      </c>
      <c r="E35" s="28">
        <v>755.92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1647</v>
      </c>
      <c r="C36" s="25" t="s">
        <v>76</v>
      </c>
      <c r="D36" s="27">
        <v>3.0</v>
      </c>
      <c r="E36" s="28">
        <v>283.47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1648</v>
      </c>
      <c r="C37" s="25" t="s">
        <v>76</v>
      </c>
      <c r="D37" s="27">
        <v>3.0</v>
      </c>
      <c r="E37" s="28">
        <v>283.47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1649</v>
      </c>
      <c r="C38" s="25" t="s">
        <v>76</v>
      </c>
      <c r="D38" s="27">
        <v>3.0</v>
      </c>
      <c r="E38" s="28">
        <v>283.47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1650</v>
      </c>
      <c r="C39" s="25" t="s">
        <v>76</v>
      </c>
      <c r="D39" s="27">
        <v>3.0</v>
      </c>
      <c r="E39" s="28">
        <v>283.47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1651</v>
      </c>
      <c r="C40" s="25" t="s">
        <v>76</v>
      </c>
      <c r="D40" s="27">
        <v>3.0</v>
      </c>
      <c r="E40" s="28">
        <v>283.47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1652</v>
      </c>
      <c r="C41" s="25" t="s">
        <v>76</v>
      </c>
      <c r="D41" s="27">
        <v>5.0</v>
      </c>
      <c r="E41" s="28">
        <v>472.45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1653</v>
      </c>
      <c r="C42" s="25" t="s">
        <v>76</v>
      </c>
      <c r="D42" s="27">
        <v>5.0</v>
      </c>
      <c r="E42" s="28">
        <v>472.45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9" t="s">
        <v>1654</v>
      </c>
      <c r="C43" s="25" t="s">
        <v>76</v>
      </c>
      <c r="D43" s="27">
        <v>3.0</v>
      </c>
      <c r="E43" s="28">
        <v>283.47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 t="s">
        <v>74</v>
      </c>
      <c r="B44" s="48"/>
      <c r="C44" s="25" t="s">
        <v>76</v>
      </c>
      <c r="D44" s="25" t="s">
        <v>120</v>
      </c>
      <c r="E44" s="25" t="s">
        <v>120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1638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1641</v>
      </c>
    </row>
    <row r="4" ht="14.25" customHeight="1">
      <c r="A4" s="9" t="s">
        <v>19</v>
      </c>
      <c r="B4" s="8" t="s">
        <v>1602</v>
      </c>
    </row>
    <row r="5" ht="14.25" customHeight="1">
      <c r="A5" s="7" t="s">
        <v>24</v>
      </c>
      <c r="B5" s="8" t="s">
        <v>1603</v>
      </c>
    </row>
    <row r="6" ht="14.25" customHeight="1">
      <c r="A6" s="9" t="s">
        <v>1604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90.0</v>
      </c>
      <c r="G10" s="15">
        <v>8504.15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70.0</v>
      </c>
      <c r="G11" s="15">
        <v>6614.34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150.0</v>
      </c>
      <c r="G12" s="15">
        <v>14173.58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110.0</v>
      </c>
      <c r="G13" s="15">
        <v>10393.96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260.0</v>
      </c>
      <c r="G14" s="15">
        <v>24567.53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190.0</v>
      </c>
      <c r="G15" s="15">
        <v>17953.2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350.0</v>
      </c>
      <c r="G16" s="15">
        <v>33071.68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250.0</v>
      </c>
      <c r="G17" s="15">
        <v>23622.63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50.0</v>
      </c>
      <c r="G18" s="15">
        <v>4724.53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50.0</v>
      </c>
      <c r="G19" s="15">
        <v>4724.53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45.0</v>
      </c>
      <c r="G20" s="15">
        <v>4252.07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150.0</v>
      </c>
      <c r="G21" s="15">
        <v>14173.58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5"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5"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30.0</v>
      </c>
      <c r="G24" s="15">
        <v>2834.72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5"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1655</v>
      </c>
      <c r="C29" s="21" t="s">
        <v>76</v>
      </c>
      <c r="D29" s="23">
        <v>8.0</v>
      </c>
      <c r="E29" s="24">
        <v>755.92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1656</v>
      </c>
      <c r="C30" s="25" t="s">
        <v>76</v>
      </c>
      <c r="D30" s="27">
        <v>3.0</v>
      </c>
      <c r="E30" s="28">
        <v>283.47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1657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1658</v>
      </c>
      <c r="C32" s="25" t="s">
        <v>76</v>
      </c>
      <c r="D32" s="27">
        <v>0.0</v>
      </c>
      <c r="E32" s="28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1659</v>
      </c>
      <c r="C33" s="25" t="s">
        <v>76</v>
      </c>
      <c r="D33" s="27">
        <v>0.0</v>
      </c>
      <c r="E33" s="28">
        <v>0.0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1660</v>
      </c>
      <c r="C34" s="25" t="s">
        <v>76</v>
      </c>
      <c r="D34" s="27">
        <v>3.0</v>
      </c>
      <c r="E34" s="28">
        <v>283.47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1661</v>
      </c>
      <c r="C35" s="25" t="s">
        <v>76</v>
      </c>
      <c r="D35" s="27">
        <v>5.0</v>
      </c>
      <c r="E35" s="28">
        <v>472.45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1662</v>
      </c>
      <c r="C36" s="25" t="s">
        <v>76</v>
      </c>
      <c r="D36" s="27">
        <v>5.0</v>
      </c>
      <c r="E36" s="28">
        <v>472.45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1663</v>
      </c>
      <c r="C37" s="25" t="s">
        <v>76</v>
      </c>
      <c r="D37" s="27">
        <v>5.0</v>
      </c>
      <c r="E37" s="28">
        <v>472.45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1664</v>
      </c>
      <c r="C38" s="25" t="s">
        <v>76</v>
      </c>
      <c r="D38" s="27">
        <v>3.0</v>
      </c>
      <c r="E38" s="28">
        <v>283.47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1665</v>
      </c>
      <c r="C39" s="25" t="s">
        <v>76</v>
      </c>
      <c r="D39" s="27">
        <v>5.0</v>
      </c>
      <c r="E39" s="28"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1666</v>
      </c>
      <c r="C40" s="25" t="s">
        <v>76</v>
      </c>
      <c r="D40" s="27">
        <v>3.0</v>
      </c>
      <c r="E40" s="28">
        <v>283.47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1667</v>
      </c>
      <c r="C41" s="25" t="s">
        <v>76</v>
      </c>
      <c r="D41" s="27">
        <v>0.0</v>
      </c>
      <c r="E41" s="28">
        <v>0.0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1668</v>
      </c>
      <c r="C42" s="25" t="s">
        <v>76</v>
      </c>
      <c r="D42" s="27">
        <v>0.0</v>
      </c>
      <c r="E42" s="28">
        <v>0.0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1669</v>
      </c>
      <c r="C43" s="25" t="s">
        <v>76</v>
      </c>
      <c r="D43" s="27">
        <v>3.0</v>
      </c>
      <c r="E43" s="28">
        <v>283.47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37" t="s">
        <v>74</v>
      </c>
      <c r="B44" s="29" t="s">
        <v>1670</v>
      </c>
      <c r="C44" s="37" t="s">
        <v>76</v>
      </c>
      <c r="D44" s="39">
        <v>3.0</v>
      </c>
      <c r="E44" s="40">
        <v>283.47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1671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1672</v>
      </c>
    </row>
    <row r="4" ht="14.25" customHeight="1">
      <c r="A4" s="9" t="s">
        <v>19</v>
      </c>
      <c r="B4" s="8" t="s">
        <v>1602</v>
      </c>
    </row>
    <row r="5" ht="14.25" customHeight="1">
      <c r="A5" s="7" t="s">
        <v>24</v>
      </c>
      <c r="B5" s="8" t="s">
        <v>1603</v>
      </c>
    </row>
    <row r="6" ht="14.25" customHeight="1">
      <c r="A6" s="9" t="s">
        <v>1604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90.0</v>
      </c>
      <c r="G10" s="15">
        <v>8504.15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70.0</v>
      </c>
      <c r="G11" s="15">
        <v>6614.34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150.0</v>
      </c>
      <c r="G12" s="15">
        <v>14173.58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110.0</v>
      </c>
      <c r="G13" s="15">
        <v>10393.96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260.0</v>
      </c>
      <c r="G14" s="15">
        <v>24567.53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190.0</v>
      </c>
      <c r="G15" s="15">
        <v>17953.2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350.0</v>
      </c>
      <c r="G16" s="15">
        <v>33071.68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250.0</v>
      </c>
      <c r="G17" s="15">
        <v>23622.63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50.0</v>
      </c>
      <c r="G18" s="15">
        <v>4724.53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50.0</v>
      </c>
      <c r="G19" s="15">
        <v>4724.53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45.0</v>
      </c>
      <c r="G20" s="15">
        <v>4252.07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150.0</v>
      </c>
      <c r="G21" s="15">
        <v>14173.58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5"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5"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30.0</v>
      </c>
      <c r="G24" s="15">
        <v>2834.72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5"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1673</v>
      </c>
      <c r="C29" s="21" t="s">
        <v>76</v>
      </c>
      <c r="D29" s="23">
        <v>3.0</v>
      </c>
      <c r="E29" s="24">
        <v>283.47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1674</v>
      </c>
      <c r="C30" s="25" t="s">
        <v>76</v>
      </c>
      <c r="D30" s="27">
        <v>5.0</v>
      </c>
      <c r="E30" s="28">
        <v>472.45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1675</v>
      </c>
      <c r="C31" s="25" t="s">
        <v>76</v>
      </c>
      <c r="D31" s="27">
        <v>3.0</v>
      </c>
      <c r="E31" s="28">
        <v>283.47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1676</v>
      </c>
      <c r="C32" s="25" t="s">
        <v>76</v>
      </c>
      <c r="D32" s="27">
        <v>3.0</v>
      </c>
      <c r="E32" s="28">
        <v>283.47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1677</v>
      </c>
      <c r="C33" s="25" t="s">
        <v>76</v>
      </c>
      <c r="D33" s="27">
        <v>5.0</v>
      </c>
      <c r="E33" s="28"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1678</v>
      </c>
      <c r="C34" s="25" t="s">
        <v>76</v>
      </c>
      <c r="D34" s="27">
        <v>3.0</v>
      </c>
      <c r="E34" s="28">
        <v>283.47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1679</v>
      </c>
      <c r="C35" s="25" t="s">
        <v>76</v>
      </c>
      <c r="D35" s="27">
        <v>3.0</v>
      </c>
      <c r="E35" s="28">
        <v>283.47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1680</v>
      </c>
      <c r="C36" s="25" t="s">
        <v>76</v>
      </c>
      <c r="D36" s="27">
        <v>3.0</v>
      </c>
      <c r="E36" s="28">
        <v>283.47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1681</v>
      </c>
      <c r="C37" s="25" t="s">
        <v>76</v>
      </c>
      <c r="D37" s="27">
        <v>0.0</v>
      </c>
      <c r="E37" s="28">
        <v>0.0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9" t="s">
        <v>1682</v>
      </c>
      <c r="C38" s="25" t="s">
        <v>76</v>
      </c>
      <c r="D38" s="27">
        <v>3.0</v>
      </c>
      <c r="E38" s="28">
        <v>283.47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B39" s="48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1683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1684</v>
      </c>
    </row>
    <row r="4" ht="14.25" customHeight="1">
      <c r="A4" s="9" t="s">
        <v>19</v>
      </c>
      <c r="B4" s="8" t="s">
        <v>1602</v>
      </c>
    </row>
    <row r="5" ht="14.25" customHeight="1">
      <c r="A5" s="7" t="s">
        <v>24</v>
      </c>
      <c r="B5" s="8" t="s">
        <v>1603</v>
      </c>
    </row>
    <row r="6" ht="14.25" customHeight="1">
      <c r="A6" s="9" t="s">
        <v>1604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90.0</v>
      </c>
      <c r="G10" s="15">
        <v>8504.15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70.0</v>
      </c>
      <c r="G11" s="15">
        <v>6614.34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150.0</v>
      </c>
      <c r="G12" s="15">
        <v>14173.58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110.0</v>
      </c>
      <c r="G13" s="15">
        <v>10393.96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260.0</v>
      </c>
      <c r="G14" s="15">
        <v>24567.53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190.0</v>
      </c>
      <c r="G15" s="15">
        <v>17953.2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350.0</v>
      </c>
      <c r="G16" s="15">
        <v>33071.68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250.0</v>
      </c>
      <c r="G17" s="15">
        <v>23622.63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50.0</v>
      </c>
      <c r="G18" s="15">
        <v>4724.53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50.0</v>
      </c>
      <c r="G19" s="15">
        <v>4724.53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45.0</v>
      </c>
      <c r="G20" s="15">
        <v>4252.07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150.0</v>
      </c>
      <c r="G21" s="15">
        <v>14173.58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5"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5"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30.0</v>
      </c>
      <c r="G24" s="15">
        <v>2834.72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5"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1690</v>
      </c>
      <c r="C29" s="21" t="s">
        <v>76</v>
      </c>
      <c r="D29" s="23">
        <v>8.0</v>
      </c>
      <c r="E29" s="24">
        <v>755.92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1691</v>
      </c>
      <c r="C30" s="25" t="s">
        <v>76</v>
      </c>
      <c r="D30" s="27">
        <v>5.0</v>
      </c>
      <c r="E30" s="28">
        <v>472.45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1694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1695</v>
      </c>
      <c r="C32" s="25" t="s">
        <v>76</v>
      </c>
      <c r="D32" s="27">
        <v>3.0</v>
      </c>
      <c r="E32" s="28">
        <v>283.47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1696</v>
      </c>
      <c r="C33" s="25" t="s">
        <v>76</v>
      </c>
      <c r="D33" s="27">
        <v>3.0</v>
      </c>
      <c r="E33" s="28">
        <v>283.47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1698</v>
      </c>
      <c r="C34" s="25" t="s">
        <v>76</v>
      </c>
      <c r="D34" s="27">
        <v>5.0</v>
      </c>
      <c r="E34" s="28">
        <v>472.45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1699</v>
      </c>
      <c r="C35" s="25" t="s">
        <v>76</v>
      </c>
      <c r="D35" s="27">
        <v>3.0</v>
      </c>
      <c r="E35" s="28">
        <v>283.47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1700</v>
      </c>
      <c r="C36" s="25" t="s">
        <v>76</v>
      </c>
      <c r="D36" s="27">
        <v>3.0</v>
      </c>
      <c r="E36" s="28">
        <v>283.47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1702</v>
      </c>
      <c r="C37" s="25" t="s">
        <v>76</v>
      </c>
      <c r="D37" s="27">
        <v>3.0</v>
      </c>
      <c r="E37" s="28">
        <v>283.47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1703</v>
      </c>
      <c r="C38" s="25" t="s">
        <v>76</v>
      </c>
      <c r="D38" s="27">
        <v>3.0</v>
      </c>
      <c r="E38" s="28">
        <v>283.47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1704</v>
      </c>
      <c r="C39" s="25" t="s">
        <v>76</v>
      </c>
      <c r="D39" s="27">
        <v>0.0</v>
      </c>
      <c r="E39" s="28">
        <v>0.0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1706</v>
      </c>
      <c r="C40" s="37" t="s">
        <v>76</v>
      </c>
      <c r="D40" s="39">
        <v>3.0</v>
      </c>
      <c r="E40" s="40">
        <v>283.47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1685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1686</v>
      </c>
    </row>
    <row r="4" ht="14.25" customHeight="1">
      <c r="A4" s="9" t="s">
        <v>19</v>
      </c>
      <c r="B4" s="8" t="s">
        <v>1687</v>
      </c>
    </row>
    <row r="5" ht="14.25" customHeight="1">
      <c r="A5" s="7" t="s">
        <v>24</v>
      </c>
      <c r="B5" s="8" t="s">
        <v>1688</v>
      </c>
    </row>
    <row r="6" ht="14.25" customHeight="1">
      <c r="A6" s="9" t="s">
        <v>1689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150.0</v>
      </c>
      <c r="G10" s="15">
        <v>14173.58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110.0</v>
      </c>
      <c r="G11" s="15">
        <v>10393.96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250.0</v>
      </c>
      <c r="G12" s="15">
        <v>23622.63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180.0</v>
      </c>
      <c r="G13" s="15">
        <v>17008.29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500.0</v>
      </c>
      <c r="G14" s="15">
        <v>47245.25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380.0</v>
      </c>
      <c r="G15" s="15">
        <v>35906.39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750.0</v>
      </c>
      <c r="G16" s="15">
        <v>70867.88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550.0</v>
      </c>
      <c r="G17" s="15">
        <v>51969.78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65.0</v>
      </c>
      <c r="G18" s="15">
        <v>6141.88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65.0</v>
      </c>
      <c r="G19" s="15">
        <v>6141.88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75.0</v>
      </c>
      <c r="G20" s="15"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250.0</v>
      </c>
      <c r="G21" s="15">
        <v>23622.63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40.0</v>
      </c>
      <c r="G22" s="15">
        <v>3779.62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35.0</v>
      </c>
      <c r="G23" s="15">
        <v>3307.17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55.0</v>
      </c>
      <c r="G24" s="15">
        <v>5196.98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15.0</v>
      </c>
      <c r="G25" s="15">
        <v>1417.36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8.0</v>
      </c>
      <c r="G26" s="15">
        <v>755.92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1697</v>
      </c>
      <c r="C29" s="21" t="s">
        <v>76</v>
      </c>
      <c r="D29" s="23">
        <v>3.0</v>
      </c>
      <c r="E29" s="24">
        <v>283.47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1701</v>
      </c>
      <c r="C30" s="25" t="s">
        <v>76</v>
      </c>
      <c r="D30" s="27">
        <v>3.0</v>
      </c>
      <c r="E30" s="28">
        <v>283.47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1705</v>
      </c>
      <c r="C31" s="25" t="s">
        <v>76</v>
      </c>
      <c r="D31" s="27">
        <v>3.0</v>
      </c>
      <c r="E31" s="28">
        <v>283.47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1707</v>
      </c>
      <c r="C32" s="25" t="s">
        <v>76</v>
      </c>
      <c r="D32" s="27">
        <v>3.0</v>
      </c>
      <c r="E32" s="28">
        <v>283.47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1708</v>
      </c>
      <c r="C33" s="25" t="s">
        <v>76</v>
      </c>
      <c r="D33" s="27">
        <v>3.0</v>
      </c>
      <c r="E33" s="28">
        <v>283.47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1709</v>
      </c>
      <c r="C34" s="25" t="s">
        <v>76</v>
      </c>
      <c r="D34" s="27">
        <v>35.0</v>
      </c>
      <c r="E34" s="28">
        <v>3307.17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1710</v>
      </c>
      <c r="C35" s="25" t="s">
        <v>76</v>
      </c>
      <c r="D35" s="27">
        <v>3.0</v>
      </c>
      <c r="E35" s="28">
        <v>283.47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1711</v>
      </c>
      <c r="C36" s="25" t="s">
        <v>76</v>
      </c>
      <c r="D36" s="27">
        <v>3.0</v>
      </c>
      <c r="E36" s="28">
        <v>283.47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1712</v>
      </c>
      <c r="C37" s="25" t="s">
        <v>76</v>
      </c>
      <c r="D37" s="27">
        <v>35.0</v>
      </c>
      <c r="E37" s="28">
        <v>3307.17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1714</v>
      </c>
      <c r="C38" s="25" t="s">
        <v>76</v>
      </c>
      <c r="D38" s="27">
        <v>3.0</v>
      </c>
      <c r="E38" s="28">
        <v>283.47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1715</v>
      </c>
      <c r="C39" s="25" t="s">
        <v>76</v>
      </c>
      <c r="D39" s="27">
        <v>35.0</v>
      </c>
      <c r="E39" s="28">
        <v>3307.17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1717</v>
      </c>
      <c r="C40" s="25" t="s">
        <v>76</v>
      </c>
      <c r="D40" s="27">
        <v>3.0</v>
      </c>
      <c r="E40" s="28">
        <v>283.47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1719</v>
      </c>
      <c r="C41" s="25" t="s">
        <v>76</v>
      </c>
      <c r="D41" s="27">
        <v>35.0</v>
      </c>
      <c r="E41" s="28">
        <v>3307.17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1721</v>
      </c>
      <c r="C42" s="25" t="s">
        <v>76</v>
      </c>
      <c r="D42" s="27">
        <v>3.0</v>
      </c>
      <c r="E42" s="28">
        <v>283.47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9" t="s">
        <v>1723</v>
      </c>
      <c r="C43" s="25" t="s">
        <v>76</v>
      </c>
      <c r="D43" s="27">
        <v>3.0</v>
      </c>
      <c r="E43" s="28">
        <v>283.47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1692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1693</v>
      </c>
    </row>
    <row r="4" ht="14.25" customHeight="1">
      <c r="A4" s="9" t="s">
        <v>19</v>
      </c>
      <c r="B4" s="8" t="s">
        <v>1687</v>
      </c>
    </row>
    <row r="5" ht="14.25" customHeight="1">
      <c r="A5" s="7" t="s">
        <v>24</v>
      </c>
      <c r="B5" s="8" t="s">
        <v>1688</v>
      </c>
    </row>
    <row r="6" ht="14.25" customHeight="1">
      <c r="A6" s="9" t="s">
        <v>1689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150.0</v>
      </c>
      <c r="G10" s="15">
        <v>14173.58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110.0</v>
      </c>
      <c r="G11" s="15">
        <v>10393.96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250.0</v>
      </c>
      <c r="G12" s="15">
        <v>23622.63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180.0</v>
      </c>
      <c r="G13" s="15">
        <v>17008.29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500.0</v>
      </c>
      <c r="G14" s="15">
        <v>47245.25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380.0</v>
      </c>
      <c r="G15" s="15">
        <v>35906.39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750.0</v>
      </c>
      <c r="G16" s="15">
        <v>70867.88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550.0</v>
      </c>
      <c r="G17" s="15">
        <v>51969.78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65.0</v>
      </c>
      <c r="G18" s="15">
        <v>6141.88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65.0</v>
      </c>
      <c r="G19" s="15">
        <v>6141.88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75.0</v>
      </c>
      <c r="G20" s="15"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250.0</v>
      </c>
      <c r="G21" s="15">
        <v>23622.63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40.0</v>
      </c>
      <c r="G22" s="15">
        <v>3779.62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35.0</v>
      </c>
      <c r="G23" s="15">
        <v>3307.17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55.0</v>
      </c>
      <c r="G24" s="15">
        <v>5196.98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15.0</v>
      </c>
      <c r="G25" s="15">
        <v>1417.36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8.0</v>
      </c>
      <c r="G26" s="15">
        <v>755.92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1713</v>
      </c>
      <c r="C29" s="21" t="s">
        <v>76</v>
      </c>
      <c r="D29" s="23">
        <v>3.0</v>
      </c>
      <c r="E29" s="24">
        <v>283.47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1716</v>
      </c>
      <c r="C30" s="25" t="s">
        <v>76</v>
      </c>
      <c r="D30" s="27">
        <v>3.0</v>
      </c>
      <c r="E30" s="28">
        <v>283.47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1718</v>
      </c>
      <c r="C31" s="25" t="s">
        <v>76</v>
      </c>
      <c r="D31" s="27">
        <v>35.0</v>
      </c>
      <c r="E31" s="28">
        <v>3307.17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1720</v>
      </c>
      <c r="C32" s="25" t="s">
        <v>76</v>
      </c>
      <c r="D32" s="27">
        <v>3.0</v>
      </c>
      <c r="E32" s="28">
        <v>283.47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1722</v>
      </c>
      <c r="C33" s="25" t="s">
        <v>76</v>
      </c>
      <c r="D33" s="27">
        <v>3.0</v>
      </c>
      <c r="E33" s="28">
        <v>283.47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1724</v>
      </c>
      <c r="C34" s="25" t="s">
        <v>76</v>
      </c>
      <c r="D34" s="27">
        <v>35.0</v>
      </c>
      <c r="E34" s="28">
        <v>3307.17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1725</v>
      </c>
      <c r="C35" s="25" t="s">
        <v>76</v>
      </c>
      <c r="D35" s="27">
        <v>3.0</v>
      </c>
      <c r="E35" s="28">
        <v>283.47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1726</v>
      </c>
      <c r="C36" s="25" t="s">
        <v>76</v>
      </c>
      <c r="D36" s="27">
        <v>35.0</v>
      </c>
      <c r="E36" s="28">
        <v>3307.17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1727</v>
      </c>
      <c r="C37" s="25" t="s">
        <v>76</v>
      </c>
      <c r="D37" s="27">
        <v>3.0</v>
      </c>
      <c r="E37" s="28">
        <v>283.47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1728</v>
      </c>
      <c r="C38" s="25" t="s">
        <v>76</v>
      </c>
      <c r="D38" s="27">
        <v>3.0</v>
      </c>
      <c r="E38" s="28">
        <v>283.47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1730</v>
      </c>
      <c r="C39" s="25" t="s">
        <v>76</v>
      </c>
      <c r="D39" s="27">
        <v>3.0</v>
      </c>
      <c r="E39" s="28">
        <v>283.47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1731</v>
      </c>
      <c r="C40" s="25" t="s">
        <v>76</v>
      </c>
      <c r="D40" s="27">
        <v>3.0</v>
      </c>
      <c r="E40" s="28">
        <v>283.47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1733</v>
      </c>
      <c r="C41" s="25" t="s">
        <v>76</v>
      </c>
      <c r="D41" s="27">
        <v>3.0</v>
      </c>
      <c r="E41" s="28">
        <v>283.47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9" t="s">
        <v>1737</v>
      </c>
      <c r="C42" s="25" t="s">
        <v>76</v>
      </c>
      <c r="D42" s="27">
        <v>0.0</v>
      </c>
      <c r="E42" s="28">
        <v>0.0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1729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1732</v>
      </c>
    </row>
    <row r="4" ht="14.25" customHeight="1">
      <c r="A4" s="9" t="s">
        <v>19</v>
      </c>
      <c r="B4" s="8" t="s">
        <v>1734</v>
      </c>
    </row>
    <row r="5" ht="14.25" customHeight="1">
      <c r="A5" s="7" t="s">
        <v>24</v>
      </c>
      <c r="B5" s="8" t="s">
        <v>1735</v>
      </c>
    </row>
    <row r="6" ht="14.25" customHeight="1">
      <c r="A6" s="9" t="s">
        <v>1736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75.0</v>
      </c>
      <c r="G10" s="127">
        <f>IFERROR(__xludf.DUMMYFUNCTION("IF(ISNUMBER(F10), ROUND(F10 * GOOGLEFINANCE(""CURRENCY:USDINR""), 2), """")"),7086.79)</f>
        <v>7086.79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50.0</v>
      </c>
      <c r="G11" s="127">
        <f>IFERROR(__xludf.DUMMYFUNCTION("IF(ISNUMBER(F11), ROUND(F11 * GOOGLEFINANCE(""CURRENCY:USDINR""), 2), """")"),4724.53)</f>
        <v>4724.53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110.0</v>
      </c>
      <c r="G12" s="127">
        <f>IFERROR(__xludf.DUMMYFUNCTION("IF(ISNUMBER(F12), ROUND(F12 * GOOGLEFINANCE(""CURRENCY:USDINR""), 2), """")"),10393.96)</f>
        <v>10393.96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75.0</v>
      </c>
      <c r="G13" s="127">
        <f>IFERROR(__xludf.DUMMYFUNCTION("IF(ISNUMBER(F13), ROUND(F13 * GOOGLEFINANCE(""CURRENCY:USDINR""), 2), """")"),7086.79)</f>
        <v>7086.79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125.0</v>
      </c>
      <c r="G15" s="127">
        <f>IFERROR(__xludf.DUMMYFUNCTION("IF(ISNUMBER(F15), ROUND(F15 * GOOGLEFINANCE(""CURRENCY:USDINR""), 2), """")"),11811.31)</f>
        <v>11811.31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260.0</v>
      </c>
      <c r="G16" s="127">
        <f>IFERROR(__xludf.DUMMYFUNCTION("IF(ISNUMBER(F16), ROUND(F16 * GOOGLEFINANCE(""CURRENCY:USDINR""), 2), """")"),24567.53)</f>
        <v>24567.53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175.0</v>
      </c>
      <c r="G17" s="127">
        <f>IFERROR(__xludf.DUMMYFUNCTION("IF(ISNUMBER(F17), ROUND(F17 * GOOGLEFINANCE(""CURRENCY:USDINR""), 2), """")"),16535.84)</f>
        <v>16535.84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35.0</v>
      </c>
      <c r="G18" s="127">
        <f>IFERROR(__xludf.DUMMYFUNCTION("IF(ISNUMBER(F18), ROUND(F18 * GOOGLEFINANCE(""CURRENCY:USDINR""), 2), """")"),3307.17)</f>
        <v>3307.17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35.0</v>
      </c>
      <c r="G19" s="127">
        <f>IFERROR(__xludf.DUMMYFUNCTION("IF(ISNUMBER(F19), ROUND(F19 * GOOGLEFINANCE(""CURRENCY:USDINR""), 2), """")"),3307.17)</f>
        <v>3307.17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120.0</v>
      </c>
      <c r="G21" s="127">
        <f>IFERROR(__xludf.DUMMYFUNCTION("IF(ISNUMBER(F21), ROUND(F21 * GOOGLEFINANCE(""CURRENCY:USDINR""), 2), """")"),11338.86)</f>
        <v>11338.86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25.0</v>
      </c>
      <c r="G24" s="127">
        <f>IFERROR(__xludf.DUMMYFUNCTION("IF(ISNUMBER(F24), ROUND(F24 * GOOGLEFINANCE(""CURRENCY:USDINR""), 2), """")"),2362.26)</f>
        <v>2362.26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7.5</v>
      </c>
      <c r="G25" s="127">
        <f>IFERROR(__xludf.DUMMYFUNCTION("IF(ISNUMBER(F25), ROUND(F25 * GOOGLEFINANCE(""CURRENCY:USDINR""), 2), """")"),708.68)</f>
        <v>708.68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1738</v>
      </c>
      <c r="C29" s="21" t="s">
        <v>76</v>
      </c>
      <c r="D29" s="23">
        <v>10.0</v>
      </c>
      <c r="E29" s="172">
        <f>IFERROR(__xludf.DUMMYFUNCTION("IF(ISNUMBER(D29), ROUND(D29 * GOOGLEFINANCE(""CURRENCY:USDINR""), 2), """")"),944.91)</f>
        <v>944.91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1739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1740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1741</v>
      </c>
      <c r="C32" s="25" t="s">
        <v>76</v>
      </c>
      <c r="D32" s="27">
        <v>0.0</v>
      </c>
      <c r="E32" s="173">
        <f>IFERROR(__xludf.DUMMYFUNCTION("IF(ISNUMBER(D32), ROUND(D32 * GOOGLEFINANCE(""CURRENCY:USDINR""),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1742</v>
      </c>
      <c r="C33" s="25" t="s">
        <v>76</v>
      </c>
      <c r="D33" s="27">
        <v>0.0</v>
      </c>
      <c r="E33" s="173">
        <f>IFERROR(__xludf.DUMMYFUNCTION("IF(ISNUMBER(D33), ROUND(D33 * GOOGLEFINANCE(""CURRENCY:USDINR""),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1743</v>
      </c>
      <c r="C34" s="25" t="s">
        <v>76</v>
      </c>
      <c r="D34" s="27">
        <v>0.0</v>
      </c>
      <c r="E34" s="173">
        <f>IFERROR(__xludf.DUMMYFUNCTION("IF(ISNUMBER(D34), ROUND(D34 * GOOGLEFINANCE(""CURRENCY:USDINR""),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1744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1745</v>
      </c>
      <c r="C36" s="25" t="s">
        <v>76</v>
      </c>
      <c r="D36" s="27">
        <v>15.0</v>
      </c>
      <c r="E36" s="173">
        <f>IFERROR(__xludf.DUMMYFUNCTION("IF(ISNUMBER(D36), ROUND(D36 * GOOGLEFINANCE(""CURRENCY:USDINR""), 2), """")"),1417.36)</f>
        <v>1417.36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1746</v>
      </c>
      <c r="C37" s="25" t="s">
        <v>76</v>
      </c>
      <c r="D37" s="27">
        <v>0.0</v>
      </c>
      <c r="E37" s="173">
        <f>IFERROR(__xludf.DUMMYFUNCTION("IF(ISNUMBER(D37), ROUND(D37 * GOOGLEFINANCE(""CURRENCY:USDINR""),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1747</v>
      </c>
      <c r="C38" s="25" t="s">
        <v>76</v>
      </c>
      <c r="D38" s="27">
        <v>11.5</v>
      </c>
      <c r="E38" s="173">
        <f>IFERROR(__xludf.DUMMYFUNCTION("IF(ISNUMBER(D38), ROUND(D38 * GOOGLEFINANCE(""CURRENCY:USDINR""), 2), """")"),1086.64)</f>
        <v>1086.64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1748</v>
      </c>
      <c r="C39" s="25" t="s">
        <v>76</v>
      </c>
      <c r="D39" s="27">
        <v>28.0</v>
      </c>
      <c r="E39" s="173">
        <f>IFERROR(__xludf.DUMMYFUNCTION("IF(ISNUMBER(D39), ROUND(D39 * GOOGLEFINANCE(""CURRENCY:USDINR""), 2), """")"),2645.73)</f>
        <v>2645.73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1749</v>
      </c>
      <c r="C40" s="37" t="s">
        <v>76</v>
      </c>
      <c r="D40" s="39">
        <v>0.0</v>
      </c>
      <c r="E40" s="174">
        <f>IFERROR(__xludf.DUMMYFUNCTION("IF(ISNUMBER(D40), ROUND(D40 * GOOGLEFINANCE(""CURRENCY:USDINR""), 2), """")"),0.0)</f>
        <v>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1750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1751</v>
      </c>
    </row>
    <row r="4" ht="14.25" customHeight="1">
      <c r="A4" s="9" t="s">
        <v>19</v>
      </c>
      <c r="B4" s="8" t="s">
        <v>1734</v>
      </c>
    </row>
    <row r="5" ht="14.25" customHeight="1">
      <c r="A5" s="7" t="s">
        <v>24</v>
      </c>
      <c r="B5" s="8" t="s">
        <v>1735</v>
      </c>
    </row>
    <row r="6" ht="14.25" customHeight="1">
      <c r="A6" s="9" t="s">
        <v>1736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75.0</v>
      </c>
      <c r="G10" s="127">
        <f>IFERROR(__xludf.DUMMYFUNCTION("IF(ISNUMBER(F10), ROUND(F10 * GOOGLEFINANCE(""CURRENCY:USDINR""), 2), """")"),7086.79)</f>
        <v>7086.79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50.0</v>
      </c>
      <c r="G11" s="127">
        <f>IFERROR(__xludf.DUMMYFUNCTION("IF(ISNUMBER(F11), ROUND(F11 * GOOGLEFINANCE(""CURRENCY:USDINR""), 2), """")"),4724.53)</f>
        <v>4724.53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110.0</v>
      </c>
      <c r="G12" s="127">
        <f>IFERROR(__xludf.DUMMYFUNCTION("IF(ISNUMBER(F12), ROUND(F12 * GOOGLEFINANCE(""CURRENCY:USDINR""), 2), """")"),10393.96)</f>
        <v>10393.96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75.0</v>
      </c>
      <c r="G13" s="127">
        <f>IFERROR(__xludf.DUMMYFUNCTION("IF(ISNUMBER(F13), ROUND(F13 * GOOGLEFINANCE(""CURRENCY:USDINR""), 2), """")"),7086.79)</f>
        <v>7086.79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125.0</v>
      </c>
      <c r="G15" s="127">
        <f>IFERROR(__xludf.DUMMYFUNCTION("IF(ISNUMBER(F15), ROUND(F15 * GOOGLEFINANCE(""CURRENCY:USDINR""), 2), """")"),11811.31)</f>
        <v>11811.31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260.0</v>
      </c>
      <c r="G16" s="127">
        <f>IFERROR(__xludf.DUMMYFUNCTION("IF(ISNUMBER(F16), ROUND(F16 * GOOGLEFINANCE(""CURRENCY:USDINR""), 2), """")"),24567.53)</f>
        <v>24567.53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175.0</v>
      </c>
      <c r="G17" s="127">
        <f>IFERROR(__xludf.DUMMYFUNCTION("IF(ISNUMBER(F17), ROUND(F17 * GOOGLEFINANCE(""CURRENCY:USDINR""), 2), """")"),16535.84)</f>
        <v>16535.84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35.0</v>
      </c>
      <c r="G18" s="127">
        <f>IFERROR(__xludf.DUMMYFUNCTION("IF(ISNUMBER(F18), ROUND(F18 * GOOGLEFINANCE(""CURRENCY:USDINR""), 2), """")"),3307.17)</f>
        <v>3307.17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35.0</v>
      </c>
      <c r="G19" s="127">
        <f>IFERROR(__xludf.DUMMYFUNCTION("IF(ISNUMBER(F19), ROUND(F19 * GOOGLEFINANCE(""CURRENCY:USDINR""), 2), """")"),3307.17)</f>
        <v>3307.17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120.0</v>
      </c>
      <c r="G21" s="127">
        <f>IFERROR(__xludf.DUMMYFUNCTION("IF(ISNUMBER(F21), ROUND(F21 * GOOGLEFINANCE(""CURRENCY:USDINR""), 2), """")"),11338.86)</f>
        <v>11338.86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25.0</v>
      </c>
      <c r="G24" s="127">
        <f>IFERROR(__xludf.DUMMYFUNCTION("IF(ISNUMBER(F24), ROUND(F24 * GOOGLEFINANCE(""CURRENCY:USDINR""), 2), """")"),2362.26)</f>
        <v>2362.26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7.5</v>
      </c>
      <c r="G25" s="127">
        <f>IFERROR(__xludf.DUMMYFUNCTION("IF(ISNUMBER(F25), ROUND(F25 * GOOGLEFINANCE(""CURRENCY:USDINR""), 2), """")"),708.68)</f>
        <v>708.68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1756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1757</v>
      </c>
      <c r="C30" s="25" t="s">
        <v>76</v>
      </c>
      <c r="D30" s="27">
        <v>6.0</v>
      </c>
      <c r="E30" s="173">
        <f>IFERROR(__xludf.DUMMYFUNCTION("IF(ISNUMBER(D30), ROUND(D30 * GOOGLEFINANCE(""CURRENCY:USDINR""), 2), """")"),566.94)</f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1758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1760</v>
      </c>
      <c r="C32" s="25" t="s">
        <v>76</v>
      </c>
      <c r="D32" s="27">
        <v>25.0</v>
      </c>
      <c r="E32" s="173">
        <f>IFERROR(__xludf.DUMMYFUNCTION("IF(ISNUMBER(D32), ROUND(D32 * GOOGLEFINANCE(""CURRENCY:USDINR""), 2), """")"),2362.26)</f>
        <v>2362.26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1762</v>
      </c>
      <c r="C33" s="25" t="s">
        <v>76</v>
      </c>
      <c r="D33" s="27">
        <v>0.0</v>
      </c>
      <c r="E33" s="173">
        <f>IFERROR(__xludf.DUMMYFUNCTION("IF(ISNUMBER(D33), ROUND(D33 * GOOGLEFINANCE(""CURRENCY:USDINR""),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1765</v>
      </c>
      <c r="C34" s="25" t="s">
        <v>76</v>
      </c>
      <c r="D34" s="27">
        <v>0.0</v>
      </c>
      <c r="E34" s="173">
        <f>IFERROR(__xludf.DUMMYFUNCTION("IF(ISNUMBER(D34), ROUND(D34 * GOOGLEFINANCE(""CURRENCY:USDINR""),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1766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1767</v>
      </c>
      <c r="C36" s="25" t="s">
        <v>76</v>
      </c>
      <c r="D36" s="27">
        <v>7.0</v>
      </c>
      <c r="E36" s="173">
        <f>IFERROR(__xludf.DUMMYFUNCTION("IF(ISNUMBER(D36), ROUND(D36 * GOOGLEFINANCE(""CURRENCY:USDINR""), 2), """")"),661.43)</f>
        <v>661.43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1768</v>
      </c>
      <c r="C37" s="25" t="s">
        <v>76</v>
      </c>
      <c r="D37" s="27">
        <v>0.0</v>
      </c>
      <c r="E37" s="173">
        <f>IFERROR(__xludf.DUMMYFUNCTION("IF(ISNUMBER(D37), ROUND(D37 * GOOGLEFINANCE(""CURRENCY:USDINR""),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1769</v>
      </c>
      <c r="C38" s="25" t="s">
        <v>76</v>
      </c>
      <c r="D38" s="27">
        <v>66.0</v>
      </c>
      <c r="E38" s="173">
        <f>IFERROR(__xludf.DUMMYFUNCTION("IF(ISNUMBER(D38), ROUND(D38 * GOOGLEFINANCE(""CURRENCY:USDINR""), 2), """")"),6236.37)</f>
        <v>6236.37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1770</v>
      </c>
      <c r="C39" s="25" t="s">
        <v>76</v>
      </c>
      <c r="D39" s="27">
        <v>8.5</v>
      </c>
      <c r="E39" s="173">
        <f>IFERROR(__xludf.DUMMYFUNCTION("IF(ISNUMBER(D39), ROUND(D39 * GOOGLEFINANCE(""CURRENCY:USDINR""), 2), """")"),803.17)</f>
        <v>803.17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1771</v>
      </c>
      <c r="C40" s="25" t="s">
        <v>76</v>
      </c>
      <c r="D40" s="27">
        <v>0.0</v>
      </c>
      <c r="E40" s="173">
        <f>IFERROR(__xludf.DUMMYFUNCTION("IF(ISNUMBER(D40), ROUND(D40 * GOOGLEFINANCE(""CURRENCY:USDINR""), 2), """")"),0.0)</f>
        <v>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45.71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1753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1755</v>
      </c>
    </row>
    <row r="4" ht="14.25" customHeight="1">
      <c r="A4" s="9" t="s">
        <v>19</v>
      </c>
      <c r="B4" s="8" t="s">
        <v>1734</v>
      </c>
    </row>
    <row r="5" ht="14.25" customHeight="1">
      <c r="A5" s="7" t="s">
        <v>24</v>
      </c>
      <c r="B5" s="8" t="s">
        <v>1735</v>
      </c>
    </row>
    <row r="6" ht="14.25" customHeight="1">
      <c r="A6" s="9" t="s">
        <v>1736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75.0</v>
      </c>
      <c r="G10" s="127">
        <f>IFERROR(__xludf.DUMMYFUNCTION("IF(ISNUMBER(F10), ROUND(F10 * GOOGLEFINANCE(""CURRENCY:USDINR""), 2), """")"),7086.79)</f>
        <v>7086.79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50.0</v>
      </c>
      <c r="G11" s="127">
        <f>IFERROR(__xludf.DUMMYFUNCTION("IF(ISNUMBER(F11), ROUND(F11 * GOOGLEFINANCE(""CURRENCY:USDINR""), 2), """")"),4724.53)</f>
        <v>4724.53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110.0</v>
      </c>
      <c r="G12" s="127">
        <f>IFERROR(__xludf.DUMMYFUNCTION("IF(ISNUMBER(F12), ROUND(F12 * GOOGLEFINANCE(""CURRENCY:USDINR""), 2), """")"),10393.96)</f>
        <v>10393.96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75.0</v>
      </c>
      <c r="G13" s="127">
        <f>IFERROR(__xludf.DUMMYFUNCTION("IF(ISNUMBER(F13), ROUND(F13 * GOOGLEFINANCE(""CURRENCY:USDINR""), 2), """")"),7086.79)</f>
        <v>7086.79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125.0</v>
      </c>
      <c r="G15" s="127">
        <f>IFERROR(__xludf.DUMMYFUNCTION("IF(ISNUMBER(F15), ROUND(F15 * GOOGLEFINANCE(""CURRENCY:USDINR""), 2), """")"),11811.31)</f>
        <v>11811.31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260.0</v>
      </c>
      <c r="G16" s="127">
        <f>IFERROR(__xludf.DUMMYFUNCTION("IF(ISNUMBER(F16), ROUND(F16 * GOOGLEFINANCE(""CURRENCY:USDINR""), 2), """")"),24567.53)</f>
        <v>24567.53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175.0</v>
      </c>
      <c r="G17" s="127">
        <f>IFERROR(__xludf.DUMMYFUNCTION("IF(ISNUMBER(F17), ROUND(F17 * GOOGLEFINANCE(""CURRENCY:USDINR""), 2), """")"),16535.84)</f>
        <v>16535.84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35.0</v>
      </c>
      <c r="G18" s="127">
        <f>IFERROR(__xludf.DUMMYFUNCTION("IF(ISNUMBER(F18), ROUND(F18 * GOOGLEFINANCE(""CURRENCY:USDINR""), 2), """")"),3307.17)</f>
        <v>3307.17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35.0</v>
      </c>
      <c r="G19" s="127">
        <f>IFERROR(__xludf.DUMMYFUNCTION("IF(ISNUMBER(F19), ROUND(F19 * GOOGLEFINANCE(""CURRENCY:USDINR""), 2), """")"),3307.17)</f>
        <v>3307.17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120.0</v>
      </c>
      <c r="G21" s="127">
        <f>IFERROR(__xludf.DUMMYFUNCTION("IF(ISNUMBER(F21), ROUND(F21 * GOOGLEFINANCE(""CURRENCY:USDINR""), 2), """")"),11338.86)</f>
        <v>11338.86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25.0</v>
      </c>
      <c r="G24" s="127">
        <f>IFERROR(__xludf.DUMMYFUNCTION("IF(ISNUMBER(F24), ROUND(F24 * GOOGLEFINANCE(""CURRENCY:USDINR""), 2), """")"),2362.26)</f>
        <v>2362.26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7.5</v>
      </c>
      <c r="G25" s="127">
        <f>IFERROR(__xludf.DUMMYFUNCTION("IF(ISNUMBER(F25), ROUND(F25 * GOOGLEFINANCE(""CURRENCY:USDINR""), 2), """")"),708.68)</f>
        <v>708.68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1774</v>
      </c>
      <c r="C29" s="4" t="s">
        <v>76</v>
      </c>
      <c r="D29" s="14">
        <v>8.5</v>
      </c>
      <c r="E29" s="127">
        <f>IFERROR(__xludf.DUMMYFUNCTION("IF(ISNUMBER(D29), ROUND(D29 * GOOGLEFINANCE(""CURRENCY:USDINR""), 2), """")"),803.17)</f>
        <v>803.17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1776</v>
      </c>
      <c r="C30" s="4" t="s">
        <v>76</v>
      </c>
      <c r="D30" s="14">
        <v>5.0</v>
      </c>
      <c r="E30" s="127">
        <f>IFERROR(__xludf.DUMMYFUNCTION("IF(ISNUMBER(D30), ROUND(D30 * GOOGLEFINANCE(""CURRENCY:USDINR""), 2), """")"),472.45)</f>
        <v>472.45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1778</v>
      </c>
      <c r="C31" s="4" t="s">
        <v>76</v>
      </c>
      <c r="D31" s="14">
        <v>0.0</v>
      </c>
      <c r="E31" s="127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1780</v>
      </c>
      <c r="C32" s="4" t="s">
        <v>76</v>
      </c>
      <c r="D32" s="14">
        <v>8.5</v>
      </c>
      <c r="E32" s="127">
        <f>IFERROR(__xludf.DUMMYFUNCTION("IF(ISNUMBER(D32), ROUND(D32 * GOOGLEFINANCE(""CURRENCY:USDINR""), 2), """")"),803.17)</f>
        <v>803.17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1782</v>
      </c>
      <c r="C33" s="4" t="s">
        <v>76</v>
      </c>
      <c r="D33" s="14">
        <v>20.0</v>
      </c>
      <c r="E33" s="127">
        <f>IFERROR(__xludf.DUMMYFUNCTION("IF(ISNUMBER(D33), ROUND(D33 * GOOGLEFINANCE(""CURRENCY:USDINR""), 2), """")"),1889.81)</f>
        <v>1889.81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1784</v>
      </c>
      <c r="C34" s="4" t="s">
        <v>76</v>
      </c>
      <c r="D34" s="14">
        <v>11.5</v>
      </c>
      <c r="E34" s="127">
        <f>IFERROR(__xludf.DUMMYFUNCTION("IF(ISNUMBER(D34), ROUND(D34 * GOOGLEFINANCE(""CURRENCY:USDINR""), 2), """")"),1086.64)</f>
        <v>1086.64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1785</v>
      </c>
      <c r="D35" s="175">
        <v>3.5</v>
      </c>
      <c r="E35" s="176">
        <f>IFERROR(__xludf.DUMMYFUNCTION("IF(ISNUMBER(D35), ROUND(D35 * GOOGLEFINANCE(""CURRENCY:USDINR""), 2), """")"),330.72)</f>
        <v>330.72</v>
      </c>
    </row>
    <row r="36" ht="14.25" customHeight="1">
      <c r="A36" s="4" t="s">
        <v>74</v>
      </c>
      <c r="B36" s="8" t="s">
        <v>1788</v>
      </c>
      <c r="D36" s="175">
        <v>0.0</v>
      </c>
      <c r="E36" s="176">
        <f>IFERROR(__xludf.DUMMYFUNCTION("IF(ISNUMBER(D36), ROUND(D36 * GOOGLEFINANCE(""CURRENCY:USDINR""), 2), """")"),0.0)</f>
        <v>0</v>
      </c>
    </row>
    <row r="37" ht="14.25" customHeight="1">
      <c r="A37" s="4" t="s">
        <v>74</v>
      </c>
      <c r="B37" s="8" t="s">
        <v>1790</v>
      </c>
      <c r="D37" s="175">
        <v>0.0</v>
      </c>
      <c r="E37" s="176">
        <f>IFERROR(__xludf.DUMMYFUNCTION("IF(ISNUMBER(D37), ROUND(D37 * GOOGLEFINANCE(""CURRENCY:USDINR""), 2), """")"),0.0)</f>
        <v>0</v>
      </c>
    </row>
    <row r="38" ht="14.25" customHeight="1">
      <c r="A38" s="4" t="s">
        <v>74</v>
      </c>
      <c r="B38" s="8" t="s">
        <v>1791</v>
      </c>
      <c r="D38" s="175">
        <v>0.0</v>
      </c>
      <c r="E38" s="176">
        <f>IFERROR(__xludf.DUMMYFUNCTION("IF(ISNUMBER(D38), ROUND(D38 * GOOGLEFINANCE(""CURRENCY:USDINR""), 2), """")"),0.0)</f>
        <v>0</v>
      </c>
    </row>
    <row r="39" ht="14.25" customHeight="1">
      <c r="A39" s="4" t="s">
        <v>74</v>
      </c>
      <c r="B39" s="8" t="s">
        <v>1793</v>
      </c>
      <c r="D39" s="175">
        <v>65.0</v>
      </c>
      <c r="E39" s="176">
        <f>IFERROR(__xludf.DUMMYFUNCTION("IF(ISNUMBER(D39), ROUND(D39 * GOOGLEFINANCE(""CURRENCY:USDINR""), 2), """")"),6141.88)</f>
        <v>6141.88</v>
      </c>
    </row>
    <row r="40" ht="14.25" customHeight="1">
      <c r="A40" s="4" t="s">
        <v>74</v>
      </c>
      <c r="B40" s="8" t="s">
        <v>1794</v>
      </c>
      <c r="D40" s="175">
        <v>1.5</v>
      </c>
      <c r="E40" s="176">
        <f>IFERROR(__xludf.DUMMYFUNCTION("IF(ISNUMBER(D40), ROUND(D40 * GOOGLEFINANCE(""CURRENCY:USDINR""), 2), """")"),141.74)</f>
        <v>141.74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1752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1754</v>
      </c>
    </row>
    <row r="4" ht="14.25" customHeight="1">
      <c r="A4" s="9" t="s">
        <v>19</v>
      </c>
      <c r="B4" s="8" t="s">
        <v>1734</v>
      </c>
    </row>
    <row r="5" ht="14.25" customHeight="1">
      <c r="A5" s="7" t="s">
        <v>24</v>
      </c>
      <c r="B5" s="8" t="s">
        <v>1735</v>
      </c>
    </row>
    <row r="6" ht="14.25" customHeight="1">
      <c r="A6" s="9" t="s">
        <v>1736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75.0</v>
      </c>
      <c r="G10" s="127">
        <f>IFERROR(__xludf.DUMMYFUNCTION("IF(ISNUMBER(F10), ROUND(F10 * GOOGLEFINANCE(""CURRENCY:USDINR""), 2), """")"),7086.79)</f>
        <v>7086.79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50.0</v>
      </c>
      <c r="G11" s="127">
        <f>IFERROR(__xludf.DUMMYFUNCTION("IF(ISNUMBER(F11), ROUND(F11 * GOOGLEFINANCE(""CURRENCY:USDINR""), 2), """")"),4724.53)</f>
        <v>4724.53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110.0</v>
      </c>
      <c r="G12" s="127">
        <f>IFERROR(__xludf.DUMMYFUNCTION("IF(ISNUMBER(F12), ROUND(F12 * GOOGLEFINANCE(""CURRENCY:USDINR""), 2), """")"),10393.96)</f>
        <v>10393.96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75.0</v>
      </c>
      <c r="G13" s="127">
        <f>IFERROR(__xludf.DUMMYFUNCTION("IF(ISNUMBER(F13), ROUND(F13 * GOOGLEFINANCE(""CURRENCY:USDINR""), 2), """")"),7086.79)</f>
        <v>7086.79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125.0</v>
      </c>
      <c r="G15" s="127">
        <f>IFERROR(__xludf.DUMMYFUNCTION("IF(ISNUMBER(F15), ROUND(F15 * GOOGLEFINANCE(""CURRENCY:USDINR""), 2), """")"),11811.31)</f>
        <v>11811.31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260.0</v>
      </c>
      <c r="G16" s="127">
        <f>IFERROR(__xludf.DUMMYFUNCTION("IF(ISNUMBER(F16), ROUND(F16 * GOOGLEFINANCE(""CURRENCY:USDINR""), 2), """")"),24567.53)</f>
        <v>24567.53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175.0</v>
      </c>
      <c r="G17" s="127">
        <f>IFERROR(__xludf.DUMMYFUNCTION("IF(ISNUMBER(F17), ROUND(F17 * GOOGLEFINANCE(""CURRENCY:USDINR""), 2), """")"),16535.84)</f>
        <v>16535.84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35.0</v>
      </c>
      <c r="G18" s="127">
        <f>IFERROR(__xludf.DUMMYFUNCTION("IF(ISNUMBER(F18), ROUND(F18 * GOOGLEFINANCE(""CURRENCY:USDINR""), 2), """")"),3307.17)</f>
        <v>3307.17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35.0</v>
      </c>
      <c r="G19" s="127">
        <f>IFERROR(__xludf.DUMMYFUNCTION("IF(ISNUMBER(F19), ROUND(F19 * GOOGLEFINANCE(""CURRENCY:USDINR""), 2), """")"),3307.17)</f>
        <v>3307.17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120.0</v>
      </c>
      <c r="G21" s="127">
        <f>IFERROR(__xludf.DUMMYFUNCTION("IF(ISNUMBER(F21), ROUND(F21 * GOOGLEFINANCE(""CURRENCY:USDINR""), 2), """")"),11338.86)</f>
        <v>11338.86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25.0</v>
      </c>
      <c r="G24" s="127">
        <f>IFERROR(__xludf.DUMMYFUNCTION("IF(ISNUMBER(F24), ROUND(F24 * GOOGLEFINANCE(""CURRENCY:USDINR""), 2), """")"),2362.26)</f>
        <v>2362.26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7.5</v>
      </c>
      <c r="G25" s="127">
        <f>IFERROR(__xludf.DUMMYFUNCTION("IF(ISNUMBER(F25), ROUND(F25 * GOOGLEFINANCE(""CURRENCY:USDINR""), 2), """")"),708.68)</f>
        <v>708.68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1772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1773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1775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1777</v>
      </c>
      <c r="C32" s="25" t="s">
        <v>76</v>
      </c>
      <c r="D32" s="27">
        <v>0.0</v>
      </c>
      <c r="E32" s="173">
        <f>IFERROR(__xludf.DUMMYFUNCTION("IF(ISNUMBER(D32), ROUND(D32 * GOOGLEFINANCE(""CURRENCY:USDINR""),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1779</v>
      </c>
      <c r="C33" s="25" t="s">
        <v>76</v>
      </c>
      <c r="D33" s="27">
        <v>0.0</v>
      </c>
      <c r="E33" s="173">
        <f>IFERROR(__xludf.DUMMYFUNCTION("IF(ISNUMBER(D33), ROUND(D33 * GOOGLEFINANCE(""CURRENCY:USDINR""),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1781</v>
      </c>
      <c r="C34" s="25" t="s">
        <v>76</v>
      </c>
      <c r="D34" s="27">
        <v>24.0</v>
      </c>
      <c r="E34" s="173">
        <f>IFERROR(__xludf.DUMMYFUNCTION("IF(ISNUMBER(D34), ROUND(D34 * GOOGLEFINANCE(""CURRENCY:USDINR""), 2), """")"),2267.77)</f>
        <v>2267.77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1783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1786</v>
      </c>
      <c r="C36" s="25" t="s">
        <v>76</v>
      </c>
      <c r="D36" s="27">
        <v>0.0</v>
      </c>
      <c r="E36" s="173">
        <f>IFERROR(__xludf.DUMMYFUNCTION("IF(ISNUMBER(D36), ROUND(D36 * GOOGLEFINANCE(""CURRENCY:USDINR""),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1787</v>
      </c>
      <c r="C37" s="25" t="s">
        <v>76</v>
      </c>
      <c r="D37" s="27">
        <v>0.0</v>
      </c>
      <c r="E37" s="173">
        <f>IFERROR(__xludf.DUMMYFUNCTION("IF(ISNUMBER(D37), ROUND(D37 * GOOGLEFINANCE(""CURRENCY:USDINR""),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1789</v>
      </c>
      <c r="C38" s="25" t="s">
        <v>76</v>
      </c>
      <c r="D38" s="27">
        <v>1.25</v>
      </c>
      <c r="E38" s="173">
        <f>IFERROR(__xludf.DUMMYFUNCTION("IF(ISNUMBER(D38), ROUND(D38 * GOOGLEFINANCE(""CURRENCY:USDINR""), 2), """")"),118.11)</f>
        <v>118.11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1792</v>
      </c>
      <c r="C39" s="25" t="s">
        <v>76</v>
      </c>
      <c r="D39" s="27">
        <v>0.0</v>
      </c>
      <c r="E39" s="173">
        <f>IFERROR(__xludf.DUMMYFUNCTION("IF(ISNUMBER(D39), ROUND(D39 * GOOGLEFINANCE(""CURRENCY:USDINR""),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1795</v>
      </c>
      <c r="C40" s="37" t="s">
        <v>76</v>
      </c>
      <c r="D40" s="39">
        <v>6.5</v>
      </c>
      <c r="E40" s="174">
        <f>IFERROR(__xludf.DUMMYFUNCTION("IF(ISNUMBER(D40), ROUND(D40 * GOOGLEFINANCE(""CURRENCY:USDINR""), 2), """")"),614.19)</f>
        <v>614.19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1759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1761</v>
      </c>
    </row>
    <row r="4" ht="14.25" customHeight="1">
      <c r="A4" s="9" t="s">
        <v>19</v>
      </c>
      <c r="B4" s="8" t="s">
        <v>1734</v>
      </c>
    </row>
    <row r="5" ht="14.25" customHeight="1">
      <c r="A5" s="7" t="s">
        <v>24</v>
      </c>
      <c r="B5" s="8" t="s">
        <v>1763</v>
      </c>
    </row>
    <row r="6" ht="14.25" customHeight="1">
      <c r="A6" s="9" t="s">
        <v>1764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75.0</v>
      </c>
      <c r="G10" s="127">
        <f>IFERROR(__xludf.DUMMYFUNCTION("IF(ISNUMBER(F10), ROUND(F10 * GOOGLEFINANCE(""CURRENCY:USDINR""), 2), """")"),7086.79)</f>
        <v>7086.79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50.0</v>
      </c>
      <c r="G11" s="127">
        <f>IFERROR(__xludf.DUMMYFUNCTION("IF(ISNUMBER(F11), ROUND(F11 * GOOGLEFINANCE(""CURRENCY:USDINR""), 2), """")"),4724.53)</f>
        <v>4724.53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110.0</v>
      </c>
      <c r="G12" s="127">
        <f>IFERROR(__xludf.DUMMYFUNCTION("IF(ISNUMBER(F12), ROUND(F12 * GOOGLEFINANCE(""CURRENCY:USDINR""), 2), """")"),10393.96)</f>
        <v>10393.96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75.0</v>
      </c>
      <c r="G13" s="127">
        <f>IFERROR(__xludf.DUMMYFUNCTION("IF(ISNUMBER(F13), ROUND(F13 * GOOGLEFINANCE(""CURRENCY:USDINR""), 2), """")"),7086.79)</f>
        <v>7086.79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125.0</v>
      </c>
      <c r="G15" s="127">
        <f>IFERROR(__xludf.DUMMYFUNCTION("IF(ISNUMBER(F15), ROUND(F15 * GOOGLEFINANCE(""CURRENCY:USDINR""), 2), """")"),11811.31)</f>
        <v>11811.31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260.0</v>
      </c>
      <c r="G16" s="127">
        <f>IFERROR(__xludf.DUMMYFUNCTION("IF(ISNUMBER(F16), ROUND(F16 * GOOGLEFINANCE(""CURRENCY:USDINR""), 2), """")"),24567.53)</f>
        <v>24567.53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175.0</v>
      </c>
      <c r="G17" s="127">
        <f>IFERROR(__xludf.DUMMYFUNCTION("IF(ISNUMBER(F17), ROUND(F17 * GOOGLEFINANCE(""CURRENCY:USDINR""), 2), """")"),16535.84)</f>
        <v>16535.84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35.0</v>
      </c>
      <c r="G18" s="127">
        <f>IFERROR(__xludf.DUMMYFUNCTION("IF(ISNUMBER(F18), ROUND(F18 * GOOGLEFINANCE(""CURRENCY:USDINR""), 2), """")"),3307.17)</f>
        <v>3307.17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35.0</v>
      </c>
      <c r="G19" s="127">
        <f>IFERROR(__xludf.DUMMYFUNCTION("IF(ISNUMBER(F19), ROUND(F19 * GOOGLEFINANCE(""CURRENCY:USDINR""), 2), """")"),3307.17)</f>
        <v>3307.17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120.0</v>
      </c>
      <c r="G21" s="127">
        <f>IFERROR(__xludf.DUMMYFUNCTION("IF(ISNUMBER(F21), ROUND(F21 * GOOGLEFINANCE(""CURRENCY:USDINR""), 2), """")"),11338.86)</f>
        <v>11338.86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25.0</v>
      </c>
      <c r="G24" s="127">
        <f>IFERROR(__xludf.DUMMYFUNCTION("IF(ISNUMBER(F24), ROUND(F24 * GOOGLEFINANCE(""CURRENCY:USDINR""), 2), """")"),2362.26)</f>
        <v>2362.26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7.5</v>
      </c>
      <c r="G25" s="127">
        <f>IFERROR(__xludf.DUMMYFUNCTION("IF(ISNUMBER(F25), ROUND(F25 * GOOGLEFINANCE(""CURRENCY:USDINR""), 2), """")"),708.68)</f>
        <v>708.68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1796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1797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1798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1799</v>
      </c>
      <c r="C32" s="25" t="s">
        <v>76</v>
      </c>
      <c r="D32" s="27">
        <v>0.0</v>
      </c>
      <c r="E32" s="173">
        <f>IFERROR(__xludf.DUMMYFUNCTION("IF(ISNUMBER(D32), ROUND(D32 * GOOGLEFINANCE(""CURRENCY:USDINR""),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1800</v>
      </c>
      <c r="C33" s="25" t="s">
        <v>76</v>
      </c>
      <c r="D33" s="27">
        <v>0.0</v>
      </c>
      <c r="E33" s="173">
        <f>IFERROR(__xludf.DUMMYFUNCTION("IF(ISNUMBER(D33), ROUND(D33 * GOOGLEFINANCE(""CURRENCY:USDINR""),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1801</v>
      </c>
      <c r="C34" s="25" t="s">
        <v>76</v>
      </c>
      <c r="D34" s="27">
        <v>0.0</v>
      </c>
      <c r="E34" s="173">
        <f>IFERROR(__xludf.DUMMYFUNCTION("IF(ISNUMBER(D34), ROUND(D34 * GOOGLEFINANCE(""CURRENCY:USDINR""),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1802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1803</v>
      </c>
      <c r="C36" s="25" t="s">
        <v>76</v>
      </c>
      <c r="D36" s="27">
        <v>0.0</v>
      </c>
      <c r="E36" s="173">
        <f>IFERROR(__xludf.DUMMYFUNCTION("IF(ISNUMBER(D36), ROUND(D36 * GOOGLEFINANCE(""CURRENCY:USDINR""),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1804</v>
      </c>
      <c r="C37" s="25" t="s">
        <v>76</v>
      </c>
      <c r="D37" s="27">
        <v>0.0</v>
      </c>
      <c r="E37" s="173">
        <f>IFERROR(__xludf.DUMMYFUNCTION("IF(ISNUMBER(D37), ROUND(D37 * GOOGLEFINANCE(""CURRENCY:USDINR""),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1805</v>
      </c>
      <c r="C38" s="25" t="s">
        <v>76</v>
      </c>
      <c r="D38" s="27">
        <v>0.0</v>
      </c>
      <c r="E38" s="173">
        <f>IFERROR(__xludf.DUMMYFUNCTION("IF(ISNUMBER(D38), ROUND(D38 * GOOGLEFINANCE(""CURRENCY:USDINR""),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37" t="s">
        <v>74</v>
      </c>
      <c r="B39" s="29" t="s">
        <v>1806</v>
      </c>
      <c r="C39" s="37" t="s">
        <v>76</v>
      </c>
      <c r="D39" s="39">
        <v>0.0</v>
      </c>
      <c r="E39" s="174">
        <f>IFERROR(__xludf.DUMMYFUNCTION("IF(ISNUMBER(D39), ROUND(D39 * GOOGLEFINANCE(""CURRENCY:USDINR""), 2), """")"),0.0)</f>
        <v>0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D40" s="177"/>
      <c r="E40" s="176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1807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1808</v>
      </c>
    </row>
    <row r="4" ht="14.25" customHeight="1">
      <c r="A4" s="9" t="s">
        <v>19</v>
      </c>
      <c r="B4" s="8" t="s">
        <v>1734</v>
      </c>
    </row>
    <row r="5" ht="14.25" customHeight="1">
      <c r="A5" s="7" t="s">
        <v>24</v>
      </c>
      <c r="B5" s="8" t="s">
        <v>1735</v>
      </c>
    </row>
    <row r="6" ht="14.25" customHeight="1">
      <c r="A6" s="9" t="s">
        <v>1736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57">
        <v>75.0</v>
      </c>
      <c r="G10" s="104">
        <f>IFERROR(__xludf.DUMMYFUNCTION("IF(ISNUMBER(F10), ROUND(F10 * GOOGLEFINANCE(""CURRENCY:USDINR""), 2), """")"),7086.79)</f>
        <v>7086.79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57">
        <v>50.0</v>
      </c>
      <c r="G11" s="104">
        <f>IFERROR(__xludf.DUMMYFUNCTION("IF(ISNUMBER(F11), ROUND(F11 * GOOGLEFINANCE(""CURRENCY:USDINR""), 2), """")"),4724.53)</f>
        <v>4724.53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57">
        <v>110.0</v>
      </c>
      <c r="G12" s="104">
        <f>IFERROR(__xludf.DUMMYFUNCTION("IF(ISNUMBER(F12), ROUND(F12 * GOOGLEFINANCE(""CURRENCY:USDINR""), 2), """")"),10393.96)</f>
        <v>10393.96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57">
        <v>75.0</v>
      </c>
      <c r="G13" s="104">
        <f>IFERROR(__xludf.DUMMYFUNCTION("IF(ISNUMBER(F13), ROUND(F13 * GOOGLEFINANCE(""CURRENCY:USDINR""), 2), """")"),7086.79)</f>
        <v>7086.79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57">
        <v>180.0</v>
      </c>
      <c r="G14" s="104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57">
        <v>125.0</v>
      </c>
      <c r="G15" s="104">
        <f>IFERROR(__xludf.DUMMYFUNCTION("IF(ISNUMBER(F15), ROUND(F15 * GOOGLEFINANCE(""CURRENCY:USDINR""), 2), """")"),11811.31)</f>
        <v>11811.31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57">
        <v>260.0</v>
      </c>
      <c r="G16" s="104">
        <f>IFERROR(__xludf.DUMMYFUNCTION("IF(ISNUMBER(F16), ROUND(F16 * GOOGLEFINANCE(""CURRENCY:USDINR""), 2), """")"),24567.53)</f>
        <v>24567.53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57">
        <v>175.0</v>
      </c>
      <c r="G17" s="104">
        <f>IFERROR(__xludf.DUMMYFUNCTION("IF(ISNUMBER(F17), ROUND(F17 * GOOGLEFINANCE(""CURRENCY:USDINR""), 2), """")"),16535.84)</f>
        <v>16535.84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57">
        <v>35.0</v>
      </c>
      <c r="G18" s="104">
        <f>IFERROR(__xludf.DUMMYFUNCTION("IF(ISNUMBER(F18), ROUND(F18 * GOOGLEFINANCE(""CURRENCY:USDINR""), 2), """")"),3307.17)</f>
        <v>3307.17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57">
        <v>35.0</v>
      </c>
      <c r="G19" s="104">
        <f>IFERROR(__xludf.DUMMYFUNCTION("IF(ISNUMBER(F19), ROUND(F19 * GOOGLEFINANCE(""CURRENCY:USDINR""), 2), """")"),3307.17)</f>
        <v>3307.17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57">
        <v>30.0</v>
      </c>
      <c r="G20" s="104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57">
        <v>120.0</v>
      </c>
      <c r="G21" s="104">
        <f>IFERROR(__xludf.DUMMYFUNCTION("IF(ISNUMBER(F21), ROUND(F21 * GOOGLEFINANCE(""CURRENCY:USDINR""), 2), """")"),11338.86)</f>
        <v>11338.86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57">
        <v>20.0</v>
      </c>
      <c r="G22" s="104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57">
        <v>15.0</v>
      </c>
      <c r="G23" s="104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57">
        <v>25.0</v>
      </c>
      <c r="G24" s="104">
        <f>IFERROR(__xludf.DUMMYFUNCTION("IF(ISNUMBER(F24), ROUND(F24 * GOOGLEFINANCE(""CURRENCY:USDINR""), 2), """")"),2362.26)</f>
        <v>2362.26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57">
        <v>7.5</v>
      </c>
      <c r="G25" s="104">
        <f>IFERROR(__xludf.DUMMYFUNCTION("IF(ISNUMBER(F25), ROUND(F25 * GOOGLEFINANCE(""CURRENCY:USDINR""), 2), """")"),708.68)</f>
        <v>708.68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57">
        <v>4.0</v>
      </c>
      <c r="G26" s="104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1816</v>
      </c>
      <c r="C29" s="21" t="s">
        <v>76</v>
      </c>
      <c r="D29" s="62">
        <v>21.0</v>
      </c>
      <c r="E29" s="105">
        <f>IFERROR(__xludf.DUMMYFUNCTION("IF(ISNUMBER(D29), ROUND(D29 * GOOGLEFINANCE(""CURRENCY:USDINR""), 2), """")"),1984.3)</f>
        <v>1984.3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1818</v>
      </c>
      <c r="C30" s="25" t="s">
        <v>76</v>
      </c>
      <c r="D30" s="64">
        <v>21.0</v>
      </c>
      <c r="E30" s="106">
        <f>IFERROR(__xludf.DUMMYFUNCTION("IF(ISNUMBER(D30), ROUND(D30 * GOOGLEFINANCE(""CURRENCY:USDINR""), 2), """")"),1984.3)</f>
        <v>1984.3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1819</v>
      </c>
      <c r="C31" s="25" t="s">
        <v>76</v>
      </c>
      <c r="D31" s="64">
        <v>7.0</v>
      </c>
      <c r="E31" s="106">
        <f>IFERROR(__xludf.DUMMYFUNCTION("IF(ISNUMBER(D31), ROUND(D31 * GOOGLEFINANCE(""CURRENCY:USDINR""), 2), """")"),661.43)</f>
        <v>661.43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1820</v>
      </c>
      <c r="C32" s="25" t="s">
        <v>76</v>
      </c>
      <c r="D32" s="64">
        <v>0.0</v>
      </c>
      <c r="E32" s="106">
        <f>IFERROR(__xludf.DUMMYFUNCTION("IF(ISNUMBER(D32), ROUND(D32 * GOOGLEFINANCE(""CURRENCY:USDINR""),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1822</v>
      </c>
      <c r="C33" s="25" t="s">
        <v>76</v>
      </c>
      <c r="D33" s="64">
        <v>0.0</v>
      </c>
      <c r="E33" s="106">
        <f>IFERROR(__xludf.DUMMYFUNCTION("IF(ISNUMBER(D33), ROUND(D33 * GOOGLEFINANCE(""CURRENCY:USDINR""),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1823</v>
      </c>
      <c r="C34" s="25" t="s">
        <v>76</v>
      </c>
      <c r="D34" s="64">
        <v>7.0</v>
      </c>
      <c r="E34" s="106">
        <f>IFERROR(__xludf.DUMMYFUNCTION("IF(ISNUMBER(D34), ROUND(D34 * GOOGLEFINANCE(""CURRENCY:USDINR""), 2), """")"),661.43)</f>
        <v>661.43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1825</v>
      </c>
      <c r="C35" s="25" t="s">
        <v>76</v>
      </c>
      <c r="D35" s="64">
        <v>0.0</v>
      </c>
      <c r="E35" s="106">
        <f>IFERROR(__xludf.DUMMYFUNCTION("IF(ISNUMBER(D35), ROUND(D35 * GOOGLEFINANCE(""CURRENCY:USDINR""),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1827</v>
      </c>
      <c r="C36" s="25" t="s">
        <v>76</v>
      </c>
      <c r="D36" s="64">
        <v>0.0</v>
      </c>
      <c r="E36" s="106">
        <f>IFERROR(__xludf.DUMMYFUNCTION("IF(ISNUMBER(D36), ROUND(D36 * GOOGLEFINANCE(""CURRENCY:USDINR""),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1830</v>
      </c>
      <c r="C37" s="25" t="s">
        <v>76</v>
      </c>
      <c r="D37" s="64">
        <v>0.0</v>
      </c>
      <c r="E37" s="106">
        <f>IFERROR(__xludf.DUMMYFUNCTION("IF(ISNUMBER(D37), ROUND(D37 * GOOGLEFINANCE(""CURRENCY:USDINR""),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1833</v>
      </c>
      <c r="C38" s="25" t="s">
        <v>76</v>
      </c>
      <c r="D38" s="64">
        <v>0.0</v>
      </c>
      <c r="E38" s="106">
        <f>IFERROR(__xludf.DUMMYFUNCTION("IF(ISNUMBER(D38), ROUND(D38 * GOOGLEFINANCE(""CURRENCY:USDINR""),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1836</v>
      </c>
      <c r="C39" s="25" t="s">
        <v>76</v>
      </c>
      <c r="D39" s="64">
        <v>0.0</v>
      </c>
      <c r="E39" s="106">
        <f>IFERROR(__xludf.DUMMYFUNCTION("IF(ISNUMBER(D39), ROUND(D39 * GOOGLEFINANCE(""CURRENCY:USDINR""),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1839</v>
      </c>
      <c r="C40" s="37" t="s">
        <v>76</v>
      </c>
      <c r="D40" s="66">
        <v>0.0</v>
      </c>
      <c r="E40" s="107">
        <f>IFERROR(__xludf.DUMMYFUNCTION("IF(ISNUMBER(D40), ROUND(D40 * GOOGLEFINANCE(""CURRENCY:USDINR""), 2), """")"),0.0)</f>
        <v>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1809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1810</v>
      </c>
    </row>
    <row r="4" ht="14.25" customHeight="1">
      <c r="A4" s="9" t="s">
        <v>19</v>
      </c>
      <c r="B4" s="8" t="s">
        <v>1811</v>
      </c>
    </row>
    <row r="5" ht="14.25" customHeight="1">
      <c r="A5" s="7" t="s">
        <v>24</v>
      </c>
      <c r="B5" s="8" t="s">
        <v>1812</v>
      </c>
    </row>
    <row r="6" ht="14.25" customHeight="1">
      <c r="A6" s="9" t="s">
        <v>1813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125.0</v>
      </c>
      <c r="G10" s="127">
        <f>IFERROR(__xludf.DUMMYFUNCTION("IF(ISNUMBER(F10), ROUND(F10 * GOOGLEFINANCE(""CURRENCY:USDINR""), 2), """")"),11811.31)</f>
        <v>11811.31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85.0</v>
      </c>
      <c r="G11" s="127">
        <f>IFERROR(__xludf.DUMMYFUNCTION("IF(ISNUMBER(F11), ROUND(F11 * GOOGLEFINANCE(""CURRENCY:USDINR""), 2), """")"),8031.69)</f>
        <v>8031.69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195.0</v>
      </c>
      <c r="G12" s="127">
        <f>IFERROR(__xludf.DUMMYFUNCTION("IF(ISNUMBER(F12), ROUND(F12 * GOOGLEFINANCE(""CURRENCY:USDINR""), 2), """")"),18425.65)</f>
        <v>18425.65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135.0</v>
      </c>
      <c r="G13" s="127">
        <f>IFERROR(__xludf.DUMMYFUNCTION("IF(ISNUMBER(F13), ROUND(F13 * GOOGLEFINANCE(""CURRENCY:USDINR""), 2), """")"),12756.22)</f>
        <v>12756.22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320.0</v>
      </c>
      <c r="G14" s="127">
        <f>IFERROR(__xludf.DUMMYFUNCTION("IF(ISNUMBER(F14), ROUND(F14 * GOOGLEFINANCE(""CURRENCY:USDINR""), 2), """")"),30236.96)</f>
        <v>30236.96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230.0</v>
      </c>
      <c r="G15" s="127">
        <f>IFERROR(__xludf.DUMMYFUNCTION("IF(ISNUMBER(F15), ROUND(F15 * GOOGLEFINANCE(""CURRENCY:USDINR""), 2), """")"),21732.82)</f>
        <v>21732.82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460.0</v>
      </c>
      <c r="G16" s="127">
        <f>IFERROR(__xludf.DUMMYFUNCTION("IF(ISNUMBER(F16), ROUND(F16 * GOOGLEFINANCE(""CURRENCY:USDINR""), 2), """")"),43465.63)</f>
        <v>43465.63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320.0</v>
      </c>
      <c r="G17" s="127">
        <f>IFERROR(__xludf.DUMMYFUNCTION("IF(ISNUMBER(F17), ROUND(F17 * GOOGLEFINANCE(""CURRENCY:USDINR""), 2), """")"),30236.96)</f>
        <v>30236.96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90.0</v>
      </c>
      <c r="G18" s="127">
        <f>IFERROR(__xludf.DUMMYFUNCTION("IF(ISNUMBER(F18), ROUND(F18 * GOOGLEFINANCE(""CURRENCY:USDINR""), 2), """")"),8504.15)</f>
        <v>8504.15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90.0</v>
      </c>
      <c r="G19" s="127">
        <f>IFERROR(__xludf.DUMMYFUNCTION("IF(ISNUMBER(F19), ROUND(F19 * GOOGLEFINANCE(""CURRENCY:USDINR""), 2), """")"),8504.15)</f>
        <v>8504.15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75.0</v>
      </c>
      <c r="G20" s="127">
        <f>IFERROR(__xludf.DUMMYFUNCTION("IF(ISNUMBER(F20), ROUND(F20 * GOOGLEFINANCE(""CURRENCY:USDINR""), 2), """")"),7086.79)</f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270.0</v>
      </c>
      <c r="G21" s="127">
        <f>IFERROR(__xludf.DUMMYFUNCTION("IF(ISNUMBER(F21), ROUND(F21 * GOOGLEFINANCE(""CURRENCY:USDINR""), 2), """")"),25512.44)</f>
        <v>25512.44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35.0</v>
      </c>
      <c r="G22" s="127">
        <f>IFERROR(__xludf.DUMMYFUNCTION("IF(ISNUMBER(F22), ROUND(F22 * GOOGLEFINANCE(""CURRENCY:USDINR""), 2), """")"),3307.17)</f>
        <v>3307.17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35.0</v>
      </c>
      <c r="G24" s="127">
        <f>IFERROR(__xludf.DUMMYFUNCTION("IF(ISNUMBER(F24), ROUND(F24 * GOOGLEFINANCE(""CURRENCY:USDINR""), 2), """")"),3307.17)</f>
        <v>3307.17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27">
        <f>IFERROR(__xludf.DUMMYFUNCTION("IF(ISNUMBER(F25), ROUND(F25 * GOOGLEFINANCE(""CURRENCY:USDINR""), 2), """")"),944.91)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27">
        <f>IFERROR(__xludf.DUMMYFUNCTION("IF(ISNUMBER(F26), ROUND(F26 * GOOGLEFINANCE(""CURRENCY:USDINR""), 2), """")"),472.45)</f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1817</v>
      </c>
      <c r="C29" s="21" t="s">
        <v>76</v>
      </c>
      <c r="D29" s="23">
        <v>8.0</v>
      </c>
      <c r="E29" s="172">
        <f>IFERROR(__xludf.DUMMYFUNCTION("IF(ISNUMBER(D29), ROUND(D29 * GOOGLEFINANCE(""CURRENCY:USDINR""), 2), """")"),755.92)</f>
        <v>755.92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1826</v>
      </c>
      <c r="C30" s="25" t="s">
        <v>76</v>
      </c>
      <c r="D30" s="27">
        <v>4.0</v>
      </c>
      <c r="E30" s="173">
        <f>IFERROR(__xludf.DUMMYFUNCTION("IF(ISNUMBER(D30), ROUND(D30 * GOOGLEFINANCE(""CURRENCY:USDINR""), 2), """")"),377.96)</f>
        <v>377.96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1829</v>
      </c>
      <c r="C31" s="25" t="s">
        <v>76</v>
      </c>
      <c r="D31" s="27">
        <v>10.0</v>
      </c>
      <c r="E31" s="173">
        <f>IFERROR(__xludf.DUMMYFUNCTION("IF(ISNUMBER(D31), ROUND(D31 * GOOGLEFINANCE(""CURRENCY:USDINR""), 2), """")"),944.91)</f>
        <v>944.91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1832</v>
      </c>
      <c r="C32" s="25" t="s">
        <v>76</v>
      </c>
      <c r="D32" s="27">
        <v>6.5</v>
      </c>
      <c r="E32" s="173">
        <f>IFERROR(__xludf.DUMMYFUNCTION("IF(ISNUMBER(D32), ROUND(D32 * GOOGLEFINANCE(""CURRENCY:USDINR""), 2), """")"),614.19)</f>
        <v>614.19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1834</v>
      </c>
      <c r="C33" s="25" t="s">
        <v>76</v>
      </c>
      <c r="D33" s="27">
        <v>0.0</v>
      </c>
      <c r="E33" s="173">
        <f>IFERROR(__xludf.DUMMYFUNCTION("IF(ISNUMBER(D33), ROUND(D33 * GOOGLEFINANCE(""CURRENCY:USDINR""), 2), """")"),0.0)</f>
        <v>0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1837</v>
      </c>
      <c r="C34" s="25" t="s">
        <v>76</v>
      </c>
      <c r="D34" s="27">
        <v>13.0</v>
      </c>
      <c r="E34" s="173">
        <f>IFERROR(__xludf.DUMMYFUNCTION("IF(ISNUMBER(D34), ROUND(D34 * GOOGLEFINANCE(""CURRENCY:USDINR""), 2), """")"),1228.38)</f>
        <v>1228.38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1841</v>
      </c>
      <c r="C35" s="25" t="s">
        <v>76</v>
      </c>
      <c r="D35" s="27">
        <v>62.0</v>
      </c>
      <c r="E35" s="173">
        <f>IFERROR(__xludf.DUMMYFUNCTION("IF(ISNUMBER(D35), ROUND(D35 * GOOGLEFINANCE(""CURRENCY:USDINR""), 2), """")"),5858.41)</f>
        <v>5858.41</v>
      </c>
    </row>
    <row r="36" ht="14.25" customHeight="1">
      <c r="A36" s="25" t="s">
        <v>74</v>
      </c>
      <c r="B36" s="26" t="s">
        <v>1843</v>
      </c>
      <c r="C36" s="25" t="s">
        <v>76</v>
      </c>
      <c r="D36" s="27">
        <v>22.0</v>
      </c>
      <c r="E36" s="173">
        <f>IFERROR(__xludf.DUMMYFUNCTION("IF(ISNUMBER(D36), ROUND(D36 * GOOGLEFINANCE(""CURRENCY:USDINR""), 2), """")"),2078.79)</f>
        <v>2078.79</v>
      </c>
    </row>
    <row r="37" ht="14.25" customHeight="1">
      <c r="A37" s="25" t="s">
        <v>74</v>
      </c>
      <c r="B37" s="26" t="s">
        <v>1844</v>
      </c>
      <c r="C37" s="25" t="s">
        <v>76</v>
      </c>
      <c r="D37" s="27">
        <v>5.0</v>
      </c>
      <c r="E37" s="173">
        <f>IFERROR(__xludf.DUMMYFUNCTION("IF(ISNUMBER(D37), ROUND(D37 * GOOGLEFINANCE(""CURRENCY:USDINR""), 2), """")"),472.45)</f>
        <v>472.45</v>
      </c>
    </row>
    <row r="38" ht="14.25" customHeight="1">
      <c r="A38" s="25" t="s">
        <v>74</v>
      </c>
      <c r="B38" s="26" t="s">
        <v>1846</v>
      </c>
      <c r="C38" s="25" t="s">
        <v>76</v>
      </c>
      <c r="D38" s="27">
        <v>0.0</v>
      </c>
      <c r="E38" s="173">
        <f>IFERROR(__xludf.DUMMYFUNCTION("IF(ISNUMBER(D38), ROUND(D38 * GOOGLEFINANCE(""CURRENCY:USDINR""), 2), """")"),0.0)</f>
        <v>0</v>
      </c>
    </row>
    <row r="39" ht="14.25" customHeight="1">
      <c r="A39" s="25" t="s">
        <v>74</v>
      </c>
      <c r="B39" s="26" t="s">
        <v>1848</v>
      </c>
      <c r="C39" s="25" t="s">
        <v>76</v>
      </c>
      <c r="D39" s="27">
        <v>7.0</v>
      </c>
      <c r="E39" s="173">
        <f>IFERROR(__xludf.DUMMYFUNCTION("IF(ISNUMBER(D39), ROUND(D39 * GOOGLEFINANCE(""CURRENCY:USDINR""), 2), """")"),661.43)</f>
        <v>661.43</v>
      </c>
    </row>
    <row r="40" ht="14.25" customHeight="1">
      <c r="A40" s="25" t="s">
        <v>74</v>
      </c>
      <c r="B40" s="26" t="s">
        <v>1849</v>
      </c>
      <c r="C40" s="25" t="s">
        <v>76</v>
      </c>
      <c r="D40" s="27">
        <v>12.0</v>
      </c>
      <c r="E40" s="173">
        <f>IFERROR(__xludf.DUMMYFUNCTION("IF(ISNUMBER(D40), ROUND(D40 * GOOGLEFINANCE(""CURRENCY:USDINR""), 2), """")"),1133.89)</f>
        <v>1133.89</v>
      </c>
    </row>
    <row r="41" ht="14.25" customHeight="1">
      <c r="A41" s="25" t="s">
        <v>74</v>
      </c>
      <c r="B41" s="26" t="s">
        <v>1851</v>
      </c>
      <c r="C41" s="25" t="s">
        <v>76</v>
      </c>
      <c r="D41" s="27">
        <v>7.5</v>
      </c>
      <c r="E41" s="173">
        <f>IFERROR(__xludf.DUMMYFUNCTION("IF(ISNUMBER(D41), ROUND(D41 * GOOGLEFINANCE(""CURRENCY:USDINR""), 2), """")"),708.68)</f>
        <v>708.68</v>
      </c>
    </row>
    <row r="42" ht="14.25" customHeight="1">
      <c r="A42" s="25" t="s">
        <v>74</v>
      </c>
      <c r="B42" s="29" t="s">
        <v>1853</v>
      </c>
      <c r="C42" s="25" t="s">
        <v>76</v>
      </c>
      <c r="D42" s="27">
        <v>24.0</v>
      </c>
      <c r="E42" s="173">
        <f>IFERROR(__xludf.DUMMYFUNCTION("IF(ISNUMBER(D42), ROUND(D42 * GOOGLEFINANCE(""CURRENCY:USDINR""), 2), """")"),2267.77)</f>
        <v>2267.77</v>
      </c>
    </row>
    <row r="43" ht="14.25" customHeight="1">
      <c r="B43" s="48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1814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1815</v>
      </c>
    </row>
    <row r="4" ht="14.25" customHeight="1">
      <c r="A4" s="9" t="s">
        <v>19</v>
      </c>
      <c r="B4" s="8" t="s">
        <v>1811</v>
      </c>
    </row>
    <row r="5" ht="14.25" customHeight="1">
      <c r="A5" s="7" t="s">
        <v>24</v>
      </c>
      <c r="B5" s="8" t="s">
        <v>1812</v>
      </c>
    </row>
    <row r="6" ht="14.25" customHeight="1">
      <c r="A6" s="9" t="s">
        <v>1813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125.0</v>
      </c>
      <c r="G10" s="127">
        <f>IFERROR(__xludf.DUMMYFUNCTION("IF(ISNUMBER(F10), ROUND(F10 * GOOGLEFINANCE(""CURRENCY:USDINR""), 2), """")"),11811.31)</f>
        <v>11811.31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85.0</v>
      </c>
      <c r="G11" s="127">
        <f>IFERROR(__xludf.DUMMYFUNCTION("IF(ISNUMBER(F11), ROUND(F11 * GOOGLEFINANCE(""CURRENCY:USDINR""), 2), """")"),8031.69)</f>
        <v>8031.69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195.0</v>
      </c>
      <c r="G12" s="127">
        <f>IFERROR(__xludf.DUMMYFUNCTION("IF(ISNUMBER(F12), ROUND(F12 * GOOGLEFINANCE(""CURRENCY:USDINR""), 2), """")"),18425.65)</f>
        <v>18425.65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135.0</v>
      </c>
      <c r="G13" s="127">
        <f>IFERROR(__xludf.DUMMYFUNCTION("IF(ISNUMBER(F13), ROUND(F13 * GOOGLEFINANCE(""CURRENCY:USDINR""), 2), """")"),12756.22)</f>
        <v>12756.22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320.0</v>
      </c>
      <c r="G14" s="127">
        <f>IFERROR(__xludf.DUMMYFUNCTION("IF(ISNUMBER(F14), ROUND(F14 * GOOGLEFINANCE(""CURRENCY:USDINR""), 2), """")"),30236.96)</f>
        <v>30236.96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230.0</v>
      </c>
      <c r="G15" s="127">
        <f>IFERROR(__xludf.DUMMYFUNCTION("IF(ISNUMBER(F15), ROUND(F15 * GOOGLEFINANCE(""CURRENCY:USDINR""), 2), """")"),21732.82)</f>
        <v>21732.82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460.0</v>
      </c>
      <c r="G16" s="127">
        <f>IFERROR(__xludf.DUMMYFUNCTION("IF(ISNUMBER(F16), ROUND(F16 * GOOGLEFINANCE(""CURRENCY:USDINR""), 2), """")"),43465.63)</f>
        <v>43465.63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320.0</v>
      </c>
      <c r="G17" s="127">
        <f>IFERROR(__xludf.DUMMYFUNCTION("IF(ISNUMBER(F17), ROUND(F17 * GOOGLEFINANCE(""CURRENCY:USDINR""), 2), """")"),30236.96)</f>
        <v>30236.96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90.0</v>
      </c>
      <c r="G18" s="127">
        <f>IFERROR(__xludf.DUMMYFUNCTION("IF(ISNUMBER(F18), ROUND(F18 * GOOGLEFINANCE(""CURRENCY:USDINR""), 2), """")"),8504.15)</f>
        <v>8504.15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90.0</v>
      </c>
      <c r="G19" s="127">
        <f>IFERROR(__xludf.DUMMYFUNCTION("IF(ISNUMBER(F19), ROUND(F19 * GOOGLEFINANCE(""CURRENCY:USDINR""), 2), """")"),8504.15)</f>
        <v>8504.15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75.0</v>
      </c>
      <c r="G20" s="127">
        <f>IFERROR(__xludf.DUMMYFUNCTION("IF(ISNUMBER(F20), ROUND(F20 * GOOGLEFINANCE(""CURRENCY:USDINR""), 2), """")"),7086.79)</f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270.0</v>
      </c>
      <c r="G21" s="127">
        <f>IFERROR(__xludf.DUMMYFUNCTION("IF(ISNUMBER(F21), ROUND(F21 * GOOGLEFINANCE(""CURRENCY:USDINR""), 2), """")"),25512.44)</f>
        <v>25512.44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35.0</v>
      </c>
      <c r="G22" s="127">
        <f>IFERROR(__xludf.DUMMYFUNCTION("IF(ISNUMBER(F22), ROUND(F22 * GOOGLEFINANCE(""CURRENCY:USDINR""), 2), """")"),3307.17)</f>
        <v>3307.17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35.0</v>
      </c>
      <c r="G24" s="127">
        <f>IFERROR(__xludf.DUMMYFUNCTION("IF(ISNUMBER(F24), ROUND(F24 * GOOGLEFINANCE(""CURRENCY:USDINR""), 2), """")"),3307.17)</f>
        <v>3307.17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27">
        <f>IFERROR(__xludf.DUMMYFUNCTION("IF(ISNUMBER(F25), ROUND(F25 * GOOGLEFINANCE(""CURRENCY:USDINR""), 2), """")"),944.91)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27">
        <f>IFERROR(__xludf.DUMMYFUNCTION("IF(ISNUMBER(F26), ROUND(F26 * GOOGLEFINANCE(""CURRENCY:USDINR""), 2), """")"),472.45)</f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1821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1824</v>
      </c>
      <c r="C30" s="25" t="s">
        <v>76</v>
      </c>
      <c r="D30" s="27">
        <v>1.5</v>
      </c>
      <c r="E30" s="173">
        <f>IFERROR(__xludf.DUMMYFUNCTION("IF(ISNUMBER(D30), ROUND(D30 * GOOGLEFINANCE(""CURRENCY:USDINR""), 2), """")"),141.74)</f>
        <v>141.74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1828</v>
      </c>
      <c r="C31" s="25" t="s">
        <v>76</v>
      </c>
      <c r="D31" s="27">
        <v>3.5</v>
      </c>
      <c r="E31" s="173">
        <f>IFERROR(__xludf.DUMMYFUNCTION("IF(ISNUMBER(D31), ROUND(D31 * GOOGLEFINANCE(""CURRENCY:USDINR""), 2), """")"),330.72)</f>
        <v>330.72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1831</v>
      </c>
      <c r="C32" s="25" t="s">
        <v>76</v>
      </c>
      <c r="D32" s="27">
        <v>14.0</v>
      </c>
      <c r="E32" s="173">
        <f>IFERROR(__xludf.DUMMYFUNCTION("IF(ISNUMBER(D32), ROUND(D32 * GOOGLEFINANCE(""CURRENCY:USDINR""), 2), """")"),1322.87)</f>
        <v>1322.87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1835</v>
      </c>
      <c r="C33" s="25" t="s">
        <v>76</v>
      </c>
      <c r="D33" s="27">
        <v>5.0</v>
      </c>
      <c r="E33" s="173">
        <f>IFERROR(__xludf.DUMMYFUNCTION("IF(ISNUMBER(D33), ROUND(D33 * GOOGLEFINANCE(""CURRENCY:USDINR""), 2), """")"),472.45)</f>
        <v>472.45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1838</v>
      </c>
      <c r="C34" s="25" t="s">
        <v>76</v>
      </c>
      <c r="D34" s="27">
        <v>17.0</v>
      </c>
      <c r="E34" s="173">
        <f>IFERROR(__xludf.DUMMYFUNCTION("IF(ISNUMBER(D34), ROUND(D34 * GOOGLEFINANCE(""CURRENCY:USDINR""), 2), """")"),1606.34)</f>
        <v>1606.34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1840</v>
      </c>
      <c r="C35" s="25" t="s">
        <v>76</v>
      </c>
      <c r="D35" s="27">
        <v>1.5</v>
      </c>
      <c r="E35" s="173">
        <f>IFERROR(__xludf.DUMMYFUNCTION("IF(ISNUMBER(D35), ROUND(D35 * GOOGLEFINANCE(""CURRENCY:USDINR""), 2), """")"),141.74)</f>
        <v>141.74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1842</v>
      </c>
      <c r="C36" s="25" t="s">
        <v>76</v>
      </c>
      <c r="D36" s="27">
        <v>3.5</v>
      </c>
      <c r="E36" s="173">
        <f>IFERROR(__xludf.DUMMYFUNCTION("IF(ISNUMBER(D36), ROUND(D36 * GOOGLEFINANCE(""CURRENCY:USDINR""), 2), """")"),330.72)</f>
        <v>330.72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1845</v>
      </c>
      <c r="C37" s="25" t="s">
        <v>76</v>
      </c>
      <c r="D37" s="27">
        <v>10.0</v>
      </c>
      <c r="E37" s="173">
        <f>IFERROR(__xludf.DUMMYFUNCTION("IF(ISNUMBER(D37), ROUND(D37 * GOOGLEFINANCE(""CURRENCY:USDINR""), 2), """")"),944.91)</f>
        <v>944.91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1847</v>
      </c>
      <c r="C38" s="25" t="s">
        <v>76</v>
      </c>
      <c r="D38" s="27">
        <v>8.5</v>
      </c>
      <c r="E38" s="173">
        <f>IFERROR(__xludf.DUMMYFUNCTION("IF(ISNUMBER(D38), ROUND(D38 * GOOGLEFINANCE(""CURRENCY:USDINR""), 2), """")"),803.17)</f>
        <v>803.17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1850</v>
      </c>
      <c r="C39" s="25" t="s">
        <v>76</v>
      </c>
      <c r="D39" s="27">
        <v>0.0</v>
      </c>
      <c r="E39" s="173">
        <f>IFERROR(__xludf.DUMMYFUNCTION("IF(ISNUMBER(D39), ROUND(D39 * GOOGLEFINANCE(""CURRENCY:USDINR""),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1852</v>
      </c>
      <c r="C40" s="25" t="s">
        <v>76</v>
      </c>
      <c r="D40" s="27">
        <v>35.0</v>
      </c>
      <c r="E40" s="173">
        <f>IFERROR(__xludf.DUMMYFUNCTION("IF(ISNUMBER(D40), ROUND(D40 * GOOGLEFINANCE(""CURRENCY:USDINR""), 2), """")"),3307.17)</f>
        <v>3307.17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1854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1855</v>
      </c>
    </row>
    <row r="4" ht="14.25" customHeight="1">
      <c r="A4" s="9" t="s">
        <v>19</v>
      </c>
      <c r="B4" s="8" t="s">
        <v>1811</v>
      </c>
    </row>
    <row r="5" ht="14.25" customHeight="1">
      <c r="A5" s="7" t="s">
        <v>24</v>
      </c>
      <c r="B5" s="8" t="s">
        <v>1812</v>
      </c>
    </row>
    <row r="6" ht="14.25" customHeight="1">
      <c r="A6" s="9" t="s">
        <v>1813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125.0</v>
      </c>
      <c r="G10" s="127">
        <f>IFERROR(__xludf.DUMMYFUNCTION("IF(ISNUMBER(F10), ROUND(F10 * GOOGLEFINANCE(""CURRENCY:USDINR""), 2), """")"),11811.31)</f>
        <v>11811.31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85.0</v>
      </c>
      <c r="G11" s="127">
        <f>IFERROR(__xludf.DUMMYFUNCTION("IF(ISNUMBER(F11), ROUND(F11 * GOOGLEFINANCE(""CURRENCY:USDINR""), 2), """")"),8031.69)</f>
        <v>8031.69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195.0</v>
      </c>
      <c r="G12" s="127">
        <f>IFERROR(__xludf.DUMMYFUNCTION("IF(ISNUMBER(F12), ROUND(F12 * GOOGLEFINANCE(""CURRENCY:USDINR""), 2), """")"),18425.65)</f>
        <v>18425.65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135.0</v>
      </c>
      <c r="G13" s="127">
        <f>IFERROR(__xludf.DUMMYFUNCTION("IF(ISNUMBER(F13), ROUND(F13 * GOOGLEFINANCE(""CURRENCY:USDINR""), 2), """")"),12756.22)</f>
        <v>12756.22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320.0</v>
      </c>
      <c r="G14" s="127">
        <f>IFERROR(__xludf.DUMMYFUNCTION("IF(ISNUMBER(F14), ROUND(F14 * GOOGLEFINANCE(""CURRENCY:USDINR""), 2), """")"),30236.96)</f>
        <v>30236.96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230.0</v>
      </c>
      <c r="G15" s="127">
        <f>IFERROR(__xludf.DUMMYFUNCTION("IF(ISNUMBER(F15), ROUND(F15 * GOOGLEFINANCE(""CURRENCY:USDINR""), 2), """")"),21732.82)</f>
        <v>21732.82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460.0</v>
      </c>
      <c r="G16" s="127">
        <f>IFERROR(__xludf.DUMMYFUNCTION("IF(ISNUMBER(F16), ROUND(F16 * GOOGLEFINANCE(""CURRENCY:USDINR""), 2), """")"),43465.63)</f>
        <v>43465.63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320.0</v>
      </c>
      <c r="G17" s="127">
        <f>IFERROR(__xludf.DUMMYFUNCTION("IF(ISNUMBER(F17), ROUND(F17 * GOOGLEFINANCE(""CURRENCY:USDINR""), 2), """")"),30236.96)</f>
        <v>30236.96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90.0</v>
      </c>
      <c r="G18" s="127">
        <f>IFERROR(__xludf.DUMMYFUNCTION("IF(ISNUMBER(F18), ROUND(F18 * GOOGLEFINANCE(""CURRENCY:USDINR""), 2), """")"),8504.15)</f>
        <v>8504.15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90.0</v>
      </c>
      <c r="G19" s="127">
        <f>IFERROR(__xludf.DUMMYFUNCTION("IF(ISNUMBER(F19), ROUND(F19 * GOOGLEFINANCE(""CURRENCY:USDINR""), 2), """")"),8504.15)</f>
        <v>8504.15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75.0</v>
      </c>
      <c r="G20" s="127">
        <f>IFERROR(__xludf.DUMMYFUNCTION("IF(ISNUMBER(F20), ROUND(F20 * GOOGLEFINANCE(""CURRENCY:USDINR""), 2), """")"),7086.79)</f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270.0</v>
      </c>
      <c r="G21" s="127">
        <f>IFERROR(__xludf.DUMMYFUNCTION("IF(ISNUMBER(F21), ROUND(F21 * GOOGLEFINANCE(""CURRENCY:USDINR""), 2), """")"),25512.44)</f>
        <v>25512.44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35.0</v>
      </c>
      <c r="G22" s="127">
        <f>IFERROR(__xludf.DUMMYFUNCTION("IF(ISNUMBER(F22), ROUND(F22 * GOOGLEFINANCE(""CURRENCY:USDINR""), 2), """")"),3307.17)</f>
        <v>3307.17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35.0</v>
      </c>
      <c r="G24" s="127">
        <f>IFERROR(__xludf.DUMMYFUNCTION("IF(ISNUMBER(F24), ROUND(F24 * GOOGLEFINANCE(""CURRENCY:USDINR""), 2), """")"),3307.17)</f>
        <v>3307.17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27">
        <f>IFERROR(__xludf.DUMMYFUNCTION("IF(ISNUMBER(F25), ROUND(F25 * GOOGLEFINANCE(""CURRENCY:USDINR""), 2), """")"),944.91)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27">
        <f>IFERROR(__xludf.DUMMYFUNCTION("IF(ISNUMBER(F26), ROUND(F26 * GOOGLEFINANCE(""CURRENCY:USDINR""), 2), """")"),472.45)</f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49" t="s">
        <v>1858</v>
      </c>
      <c r="C29" s="4" t="s">
        <v>76</v>
      </c>
      <c r="D29" s="14">
        <v>0.0</v>
      </c>
      <c r="E29" s="127">
        <f>IFERROR(__xludf.DUMMYFUNCTION("IF(ISNUMBER(D29), ROUND(D29 * GOOGLEFINANCE(""CURRENCY:USDINR""), 2), """")"),0.0)</f>
        <v>0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49" t="s">
        <v>1860</v>
      </c>
      <c r="C30" s="4" t="s">
        <v>76</v>
      </c>
      <c r="D30" s="14">
        <v>3.5</v>
      </c>
      <c r="E30" s="127">
        <f>IFERROR(__xludf.DUMMYFUNCTION("IF(ISNUMBER(D30), ROUND(D30 * GOOGLEFINANCE(""CURRENCY:USDINR""), 2), """")"),330.72)</f>
        <v>330.72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49" t="s">
        <v>1861</v>
      </c>
      <c r="C31" s="4" t="s">
        <v>76</v>
      </c>
      <c r="D31" s="14">
        <v>3.5</v>
      </c>
      <c r="E31" s="127">
        <f>IFERROR(__xludf.DUMMYFUNCTION("IF(ISNUMBER(D31), ROUND(D31 * GOOGLEFINANCE(""CURRENCY:USDINR""), 2), """")"),330.72)</f>
        <v>330.72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49" t="s">
        <v>1863</v>
      </c>
      <c r="C32" s="4" t="s">
        <v>76</v>
      </c>
      <c r="D32" s="14">
        <v>3.5</v>
      </c>
      <c r="E32" s="127">
        <f>IFERROR(__xludf.DUMMYFUNCTION("IF(ISNUMBER(D32), ROUND(D32 * GOOGLEFINANCE(""CURRENCY:USDINR""), 2), """")"),330.72)</f>
        <v>330.72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49" t="s">
        <v>1864</v>
      </c>
      <c r="C33" s="4" t="s">
        <v>76</v>
      </c>
      <c r="D33" s="14">
        <v>0.0</v>
      </c>
      <c r="E33" s="127">
        <f>IFERROR(__xludf.DUMMYFUNCTION("IF(ISNUMBER(D33), ROUND(D33 * GOOGLEFINANCE(""CURRENCY:USDINR""), 2), """")"),0.0)</f>
        <v>0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49" t="s">
        <v>1865</v>
      </c>
      <c r="C34" s="4" t="s">
        <v>76</v>
      </c>
      <c r="D34" s="14">
        <v>3.5</v>
      </c>
      <c r="E34" s="127">
        <f>IFERROR(__xludf.DUMMYFUNCTION("IF(ISNUMBER(D34), ROUND(D34 * GOOGLEFINANCE(""CURRENCY:USDINR""), 2), """")"),330.72)</f>
        <v>330.72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49" t="s">
        <v>1866</v>
      </c>
      <c r="C35" s="4" t="s">
        <v>76</v>
      </c>
      <c r="D35" s="14">
        <v>4.0</v>
      </c>
      <c r="E35" s="127">
        <f>IFERROR(__xludf.DUMMYFUNCTION("IF(ISNUMBER(D35), ROUND(D35 * GOOGLEFINANCE(""CURRENCY:USDINR""), 2), """")"),377.96)</f>
        <v>377.96</v>
      </c>
    </row>
    <row r="36" ht="14.25" customHeight="1">
      <c r="A36" s="4" t="s">
        <v>74</v>
      </c>
      <c r="B36" s="49" t="s">
        <v>1867</v>
      </c>
      <c r="C36" s="4" t="s">
        <v>76</v>
      </c>
      <c r="D36" s="14">
        <v>0.0</v>
      </c>
      <c r="E36" s="127">
        <f>IFERROR(__xludf.DUMMYFUNCTION("IF(ISNUMBER(D36), ROUND(D36 * GOOGLEFINANCE(""CURRENCY:USDINR""), 2), """")"),0.0)</f>
        <v>0</v>
      </c>
    </row>
    <row r="37" ht="14.25" customHeight="1">
      <c r="A37" s="4" t="s">
        <v>74</v>
      </c>
      <c r="B37" s="49" t="s">
        <v>1868</v>
      </c>
      <c r="C37" s="4" t="s">
        <v>76</v>
      </c>
      <c r="D37" s="14">
        <v>0.0</v>
      </c>
      <c r="E37" s="127">
        <f>IFERROR(__xludf.DUMMYFUNCTION("IF(ISNUMBER(D37), ROUND(D37 * GOOGLEFINANCE(""CURRENCY:USDINR""), 2), """")"),0.0)</f>
        <v>0</v>
      </c>
    </row>
    <row r="38" ht="14.25" customHeight="1">
      <c r="A38" s="4" t="s">
        <v>74</v>
      </c>
      <c r="B38" s="49" t="s">
        <v>1869</v>
      </c>
      <c r="C38" s="4" t="s">
        <v>76</v>
      </c>
      <c r="D38" s="14">
        <v>4.0</v>
      </c>
      <c r="E38" s="127">
        <f>IFERROR(__xludf.DUMMYFUNCTION("IF(ISNUMBER(D38), ROUND(D38 * GOOGLEFINANCE(""CURRENCY:USDINR""), 2), """")"),377.96)</f>
        <v>377.96</v>
      </c>
    </row>
    <row r="39" ht="14.25" customHeight="1">
      <c r="A39" s="4" t="s">
        <v>74</v>
      </c>
      <c r="B39" s="49" t="s">
        <v>1870</v>
      </c>
      <c r="C39" s="4" t="s">
        <v>76</v>
      </c>
      <c r="D39" s="14">
        <v>4.5</v>
      </c>
      <c r="E39" s="127">
        <f>IFERROR(__xludf.DUMMYFUNCTION("IF(ISNUMBER(D39), ROUND(D39 * GOOGLEFINANCE(""CURRENCY:USDINR""), 2), """")"),425.21)</f>
        <v>425.21</v>
      </c>
    </row>
    <row r="40" ht="14.25" customHeight="1">
      <c r="A40" s="4" t="s">
        <v>74</v>
      </c>
      <c r="B40" s="49" t="s">
        <v>1871</v>
      </c>
      <c r="C40" s="4" t="s">
        <v>76</v>
      </c>
      <c r="D40" s="14">
        <v>35.0</v>
      </c>
      <c r="E40" s="127">
        <f>IFERROR(__xludf.DUMMYFUNCTION("IF(ISNUMBER(D40), ROUND(D40 * GOOGLEFINANCE(""CURRENCY:USDINR""), 2), """")"),3307.17)</f>
        <v>3307.17</v>
      </c>
    </row>
    <row r="41" ht="14.25" customHeight="1">
      <c r="A41" s="4" t="s">
        <v>74</v>
      </c>
      <c r="B41" s="49" t="s">
        <v>1872</v>
      </c>
      <c r="C41" s="4" t="s">
        <v>76</v>
      </c>
      <c r="D41" s="14">
        <v>5.5</v>
      </c>
      <c r="E41" s="127">
        <f>IFERROR(__xludf.DUMMYFUNCTION("IF(ISNUMBER(D41), ROUND(D41 * GOOGLEFINANCE(""CURRENCY:USDINR""), 2), """")"),519.7)</f>
        <v>519.7</v>
      </c>
    </row>
    <row r="42" ht="14.25" customHeight="1">
      <c r="A42" s="4" t="s">
        <v>74</v>
      </c>
      <c r="B42" s="49" t="s">
        <v>1873</v>
      </c>
      <c r="C42" s="4" t="s">
        <v>76</v>
      </c>
      <c r="D42" s="14">
        <v>6.0</v>
      </c>
      <c r="E42" s="127">
        <f>IFERROR(__xludf.DUMMYFUNCTION("IF(ISNUMBER(D42), ROUND(D42 * GOOGLEFINANCE(""CURRENCY:USDINR""), 2), """")"),566.94)</f>
        <v>566.94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1856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1857</v>
      </c>
    </row>
    <row r="4" ht="14.25" customHeight="1">
      <c r="A4" s="9" t="s">
        <v>19</v>
      </c>
      <c r="B4" s="8" t="s">
        <v>1811</v>
      </c>
    </row>
    <row r="5" ht="14.25" customHeight="1">
      <c r="A5" s="7" t="s">
        <v>24</v>
      </c>
      <c r="B5" s="8" t="s">
        <v>1812</v>
      </c>
    </row>
    <row r="6" ht="14.25" customHeight="1">
      <c r="A6" s="9" t="s">
        <v>1813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125.0</v>
      </c>
      <c r="G10" s="127">
        <f>IFERROR(__xludf.DUMMYFUNCTION("IF(ISNUMBER(F10), ROUND(F10 * GOOGLEFINANCE(""CURRENCY:USDINR""), 2), """")"),11811.31)</f>
        <v>11811.31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85.0</v>
      </c>
      <c r="G11" s="127">
        <f>IFERROR(__xludf.DUMMYFUNCTION("IF(ISNUMBER(F11), ROUND(F11 * GOOGLEFINANCE(""CURRENCY:USDINR""), 2), """")"),8031.69)</f>
        <v>8031.69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195.0</v>
      </c>
      <c r="G12" s="127">
        <f>IFERROR(__xludf.DUMMYFUNCTION("IF(ISNUMBER(F12), ROUND(F12 * GOOGLEFINANCE(""CURRENCY:USDINR""), 2), """")"),18425.65)</f>
        <v>18425.65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135.0</v>
      </c>
      <c r="G13" s="127">
        <f>IFERROR(__xludf.DUMMYFUNCTION("IF(ISNUMBER(F13), ROUND(F13 * GOOGLEFINANCE(""CURRENCY:USDINR""), 2), """")"),12756.22)</f>
        <v>12756.22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320.0</v>
      </c>
      <c r="G14" s="127">
        <f>IFERROR(__xludf.DUMMYFUNCTION("IF(ISNUMBER(F14), ROUND(F14 * GOOGLEFINANCE(""CURRENCY:USDINR""), 2), """")"),30236.96)</f>
        <v>30236.96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230.0</v>
      </c>
      <c r="G15" s="127">
        <f>IFERROR(__xludf.DUMMYFUNCTION("IF(ISNUMBER(F15), ROUND(F15 * GOOGLEFINANCE(""CURRENCY:USDINR""), 2), """")"),21732.82)</f>
        <v>21732.82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460.0</v>
      </c>
      <c r="G16" s="127">
        <f>IFERROR(__xludf.DUMMYFUNCTION("IF(ISNUMBER(F16), ROUND(F16 * GOOGLEFINANCE(""CURRENCY:USDINR""), 2), """")"),43465.63)</f>
        <v>43465.63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320.0</v>
      </c>
      <c r="G17" s="127">
        <f>IFERROR(__xludf.DUMMYFUNCTION("IF(ISNUMBER(F17), ROUND(F17 * GOOGLEFINANCE(""CURRENCY:USDINR""), 2), """")"),30236.96)</f>
        <v>30236.96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90.0</v>
      </c>
      <c r="G18" s="127">
        <f>IFERROR(__xludf.DUMMYFUNCTION("IF(ISNUMBER(F18), ROUND(F18 * GOOGLEFINANCE(""CURRENCY:USDINR""), 2), """")"),8504.15)</f>
        <v>8504.15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90.0</v>
      </c>
      <c r="G19" s="127">
        <f>IFERROR(__xludf.DUMMYFUNCTION("IF(ISNUMBER(F19), ROUND(F19 * GOOGLEFINANCE(""CURRENCY:USDINR""), 2), """")"),8504.15)</f>
        <v>8504.15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75.0</v>
      </c>
      <c r="G20" s="127">
        <f>IFERROR(__xludf.DUMMYFUNCTION("IF(ISNUMBER(F20), ROUND(F20 * GOOGLEFINANCE(""CURRENCY:USDINR""), 2), """")"),7086.79)</f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270.0</v>
      </c>
      <c r="G21" s="127">
        <f>IFERROR(__xludf.DUMMYFUNCTION("IF(ISNUMBER(F21), ROUND(F21 * GOOGLEFINANCE(""CURRENCY:USDINR""), 2), """")"),25512.44)</f>
        <v>25512.44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35.0</v>
      </c>
      <c r="G22" s="127">
        <f>IFERROR(__xludf.DUMMYFUNCTION("IF(ISNUMBER(F22), ROUND(F22 * GOOGLEFINANCE(""CURRENCY:USDINR""), 2), """")"),3307.17)</f>
        <v>3307.17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35.0</v>
      </c>
      <c r="G24" s="127">
        <f>IFERROR(__xludf.DUMMYFUNCTION("IF(ISNUMBER(F24), ROUND(F24 * GOOGLEFINANCE(""CURRENCY:USDINR""), 2), """")"),3307.17)</f>
        <v>3307.17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27">
        <f>IFERROR(__xludf.DUMMYFUNCTION("IF(ISNUMBER(F25), ROUND(F25 * GOOGLEFINANCE(""CURRENCY:USDINR""), 2), """")"),944.91)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27">
        <f>IFERROR(__xludf.DUMMYFUNCTION("IF(ISNUMBER(F26), ROUND(F26 * GOOGLEFINANCE(""CURRENCY:USDINR""), 2), """")"),472.45)</f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1874</v>
      </c>
      <c r="C29" s="21" t="s">
        <v>76</v>
      </c>
      <c r="D29" s="23">
        <v>1.5</v>
      </c>
      <c r="E29" s="172">
        <f>IFERROR(__xludf.DUMMYFUNCTION("IF(ISNUMBER(D29), ROUND(D29 * GOOGLEFINANCE(""CURRENCY:USDINR""), 2), """")"),141.74)</f>
        <v>141.74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1875</v>
      </c>
      <c r="C30" s="25" t="s">
        <v>76</v>
      </c>
      <c r="D30" s="27">
        <v>6.5</v>
      </c>
      <c r="E30" s="173">
        <f>IFERROR(__xludf.DUMMYFUNCTION("IF(ISNUMBER(D30), ROUND(D30 * GOOGLEFINANCE(""CURRENCY:USDINR""), 2), """")"),614.19)</f>
        <v>614.19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1876</v>
      </c>
      <c r="C31" s="25" t="s">
        <v>76</v>
      </c>
      <c r="D31" s="27">
        <v>3.5</v>
      </c>
      <c r="E31" s="173">
        <f>IFERROR(__xludf.DUMMYFUNCTION("IF(ISNUMBER(D31), ROUND(D31 * GOOGLEFINANCE(""CURRENCY:USDINR""), 2), """")"),330.72)</f>
        <v>330.72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1877</v>
      </c>
      <c r="C32" s="25" t="s">
        <v>76</v>
      </c>
      <c r="D32" s="27">
        <v>8.5</v>
      </c>
      <c r="E32" s="173">
        <f>IFERROR(__xludf.DUMMYFUNCTION("IF(ISNUMBER(D32), ROUND(D32 * GOOGLEFINANCE(""CURRENCY:USDINR""), 2), """")"),803.17)</f>
        <v>803.17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1879</v>
      </c>
      <c r="C33" s="25" t="s">
        <v>76</v>
      </c>
      <c r="D33" s="27">
        <v>1.0</v>
      </c>
      <c r="E33" s="173">
        <f>IFERROR(__xludf.DUMMYFUNCTION("IF(ISNUMBER(D33), ROUND(D33 * GOOGLEFINANCE(""CURRENCY:USDINR""), 2), """")"),94.49)</f>
        <v>94.49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1882</v>
      </c>
      <c r="C34" s="25" t="s">
        <v>76</v>
      </c>
      <c r="D34" s="27">
        <v>3.5</v>
      </c>
      <c r="E34" s="173">
        <f>IFERROR(__xludf.DUMMYFUNCTION("IF(ISNUMBER(D34), ROUND(D34 * GOOGLEFINANCE(""CURRENCY:USDINR""), 2), """")"),330.72)</f>
        <v>330.72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1885</v>
      </c>
      <c r="C35" s="25" t="s">
        <v>76</v>
      </c>
      <c r="D35" s="27">
        <v>11.5</v>
      </c>
      <c r="E35" s="173">
        <f>IFERROR(__xludf.DUMMYFUNCTION("IF(ISNUMBER(D35), ROUND(D35 * GOOGLEFINANCE(""CURRENCY:USDINR""), 2), """")"),1086.64)</f>
        <v>1086.64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1887</v>
      </c>
      <c r="C36" s="25" t="s">
        <v>76</v>
      </c>
      <c r="D36" s="27">
        <v>3.5</v>
      </c>
      <c r="E36" s="173">
        <f>IFERROR(__xludf.DUMMYFUNCTION("IF(ISNUMBER(D36), ROUND(D36 * GOOGLEFINANCE(""CURRENCY:USDINR""), 2), """")"),330.72)</f>
        <v>330.72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1890</v>
      </c>
      <c r="C37" s="25" t="s">
        <v>76</v>
      </c>
      <c r="D37" s="27">
        <v>45.0</v>
      </c>
      <c r="E37" s="173">
        <f>IFERROR(__xludf.DUMMYFUNCTION("IF(ISNUMBER(D37), ROUND(D37 * GOOGLEFINANCE(""CURRENCY:USDINR""), 2), """")"),4252.07)</f>
        <v>4252.07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9" t="s">
        <v>1894</v>
      </c>
      <c r="C38" s="25" t="s">
        <v>76</v>
      </c>
      <c r="D38" s="27">
        <v>6.0</v>
      </c>
      <c r="E38" s="173">
        <f>IFERROR(__xludf.DUMMYFUNCTION("IF(ISNUMBER(D38), ROUND(D38 * GOOGLEFINANCE(""CURRENCY:USDINR""), 2), """")"),566.94)</f>
        <v>566.94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 t="s">
        <v>74</v>
      </c>
      <c r="B39" s="48"/>
      <c r="D39" s="177"/>
      <c r="E39" s="176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1859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1862</v>
      </c>
    </row>
    <row r="4" ht="14.25" customHeight="1">
      <c r="A4" s="9" t="s">
        <v>19</v>
      </c>
      <c r="B4" s="8" t="s">
        <v>1811</v>
      </c>
    </row>
    <row r="5" ht="14.25" customHeight="1">
      <c r="A5" s="7" t="s">
        <v>24</v>
      </c>
      <c r="B5" s="8" t="s">
        <v>1812</v>
      </c>
    </row>
    <row r="6" ht="14.25" customHeight="1">
      <c r="A6" s="9" t="s">
        <v>1813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125.0</v>
      </c>
      <c r="G10" s="127">
        <f>IFERROR(__xludf.DUMMYFUNCTION("IF(ISNUMBER(F10), ROUND(F10 * GOOGLEFINANCE(""CURRENCY:USDINR""), 2), """")"),11811.31)</f>
        <v>11811.31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85.0</v>
      </c>
      <c r="G11" s="127">
        <f>IFERROR(__xludf.DUMMYFUNCTION("IF(ISNUMBER(F11), ROUND(F11 * GOOGLEFINANCE(""CURRENCY:USDINR""), 2), """")"),8031.69)</f>
        <v>8031.69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195.0</v>
      </c>
      <c r="G12" s="127">
        <f>IFERROR(__xludf.DUMMYFUNCTION("IF(ISNUMBER(F12), ROUND(F12 * GOOGLEFINANCE(""CURRENCY:USDINR""), 2), """")"),18425.65)</f>
        <v>18425.65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135.0</v>
      </c>
      <c r="G13" s="127">
        <f>IFERROR(__xludf.DUMMYFUNCTION("IF(ISNUMBER(F13), ROUND(F13 * GOOGLEFINANCE(""CURRENCY:USDINR""), 2), """")"),12756.22)</f>
        <v>12756.22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320.0</v>
      </c>
      <c r="G14" s="127">
        <f>IFERROR(__xludf.DUMMYFUNCTION("IF(ISNUMBER(F14), ROUND(F14 * GOOGLEFINANCE(""CURRENCY:USDINR""), 2), """")"),30236.96)</f>
        <v>30236.96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230.0</v>
      </c>
      <c r="G15" s="127">
        <f>IFERROR(__xludf.DUMMYFUNCTION("IF(ISNUMBER(F15), ROUND(F15 * GOOGLEFINANCE(""CURRENCY:USDINR""), 2), """")"),21732.82)</f>
        <v>21732.82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460.0</v>
      </c>
      <c r="G16" s="127">
        <f>IFERROR(__xludf.DUMMYFUNCTION("IF(ISNUMBER(F16), ROUND(F16 * GOOGLEFINANCE(""CURRENCY:USDINR""), 2), """")"),43465.63)</f>
        <v>43465.63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320.0</v>
      </c>
      <c r="G17" s="127">
        <f>IFERROR(__xludf.DUMMYFUNCTION("IF(ISNUMBER(F17), ROUND(F17 * GOOGLEFINANCE(""CURRENCY:USDINR""), 2), """")"),30236.96)</f>
        <v>30236.96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90.0</v>
      </c>
      <c r="G18" s="127">
        <f>IFERROR(__xludf.DUMMYFUNCTION("IF(ISNUMBER(F18), ROUND(F18 * GOOGLEFINANCE(""CURRENCY:USDINR""), 2), """")"),8504.15)</f>
        <v>8504.15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90.0</v>
      </c>
      <c r="G19" s="127">
        <f>IFERROR(__xludf.DUMMYFUNCTION("IF(ISNUMBER(F19), ROUND(F19 * GOOGLEFINANCE(""CURRENCY:USDINR""), 2), """")"),8504.15)</f>
        <v>8504.15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75.0</v>
      </c>
      <c r="G20" s="127">
        <f>IFERROR(__xludf.DUMMYFUNCTION("IF(ISNUMBER(F20), ROUND(F20 * GOOGLEFINANCE(""CURRENCY:USDINR""), 2), """")"),7086.79)</f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270.0</v>
      </c>
      <c r="G21" s="127">
        <f>IFERROR(__xludf.DUMMYFUNCTION("IF(ISNUMBER(F21), ROUND(F21 * GOOGLEFINANCE(""CURRENCY:USDINR""), 2), """")"),25512.44)</f>
        <v>25512.44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35.0</v>
      </c>
      <c r="G22" s="127">
        <f>IFERROR(__xludf.DUMMYFUNCTION("IF(ISNUMBER(F22), ROUND(F22 * GOOGLEFINANCE(""CURRENCY:USDINR""), 2), """")"),3307.17)</f>
        <v>3307.17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35.0</v>
      </c>
      <c r="G24" s="127">
        <f>IFERROR(__xludf.DUMMYFUNCTION("IF(ISNUMBER(F24), ROUND(F24 * GOOGLEFINANCE(""CURRENCY:USDINR""), 2), """")"),3307.17)</f>
        <v>3307.17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27">
        <f>IFERROR(__xludf.DUMMYFUNCTION("IF(ISNUMBER(F25), ROUND(F25 * GOOGLEFINANCE(""CURRENCY:USDINR""), 2), """")"),944.91)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27">
        <f>IFERROR(__xludf.DUMMYFUNCTION("IF(ISNUMBER(F26), ROUND(F26 * GOOGLEFINANCE(""CURRENCY:USDINR""), 2), """")"),472.45)</f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1878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4"/>
      <c r="H29" s="4"/>
      <c r="I29" s="4" t="s">
        <v>78</v>
      </c>
    </row>
    <row r="30" ht="14.25" customHeight="1">
      <c r="A30" s="25" t="s">
        <v>74</v>
      </c>
      <c r="B30" s="26" t="s">
        <v>1880</v>
      </c>
      <c r="C30" s="25" t="s">
        <v>76</v>
      </c>
      <c r="D30" s="27">
        <v>15.0</v>
      </c>
      <c r="E30" s="173">
        <f>IFERROR(__xludf.DUMMYFUNCTION("IF(ISNUMBER(D30), ROUND(D30 * GOOGLEFINANCE(""CURRENCY:USDINR""), 2), """")"),1417.36)</f>
        <v>1417.36</v>
      </c>
      <c r="F30" s="44"/>
      <c r="G30" s="4"/>
      <c r="H30" s="4"/>
      <c r="I30" s="4" t="s">
        <v>78</v>
      </c>
    </row>
    <row r="31" ht="14.25" customHeight="1">
      <c r="A31" s="25" t="s">
        <v>74</v>
      </c>
      <c r="B31" s="26" t="s">
        <v>1881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4"/>
      <c r="H31" s="4"/>
      <c r="I31" s="4" t="s">
        <v>78</v>
      </c>
    </row>
    <row r="32" ht="14.25" customHeight="1">
      <c r="A32" s="25" t="s">
        <v>74</v>
      </c>
      <c r="B32" s="26" t="s">
        <v>1883</v>
      </c>
      <c r="C32" s="25" t="s">
        <v>76</v>
      </c>
      <c r="D32" s="27">
        <v>16.0</v>
      </c>
      <c r="E32" s="173">
        <f>IFERROR(__xludf.DUMMYFUNCTION("IF(ISNUMBER(D32), ROUND(D32 * GOOGLEFINANCE(""CURRENCY:USDINR""), 2), """")"),1511.85)</f>
        <v>1511.85</v>
      </c>
      <c r="F32" s="44"/>
      <c r="G32" s="4"/>
      <c r="H32" s="4"/>
      <c r="I32" s="4" t="s">
        <v>78</v>
      </c>
    </row>
    <row r="33" ht="14.25" customHeight="1">
      <c r="A33" s="25" t="s">
        <v>74</v>
      </c>
      <c r="B33" s="26" t="s">
        <v>1884</v>
      </c>
      <c r="C33" s="25" t="s">
        <v>76</v>
      </c>
      <c r="D33" s="27">
        <v>8.0</v>
      </c>
      <c r="E33" s="173">
        <f>IFERROR(__xludf.DUMMYFUNCTION("IF(ISNUMBER(D33), ROUND(D33 * GOOGLEFINANCE(""CURRENCY:USDINR""), 2), """")"),755.92)</f>
        <v>755.92</v>
      </c>
      <c r="F33" s="44"/>
      <c r="G33" s="4"/>
      <c r="H33" s="4"/>
      <c r="I33" s="4" t="s">
        <v>78</v>
      </c>
    </row>
    <row r="34" ht="14.25" customHeight="1">
      <c r="A34" s="25" t="s">
        <v>74</v>
      </c>
      <c r="B34" s="26" t="s">
        <v>1886</v>
      </c>
      <c r="C34" s="25" t="s">
        <v>76</v>
      </c>
      <c r="D34" s="27">
        <v>28.0</v>
      </c>
      <c r="E34" s="173">
        <f>IFERROR(__xludf.DUMMYFUNCTION("IF(ISNUMBER(D34), ROUND(D34 * GOOGLEFINANCE(""CURRENCY:USDINR""), 2), """")"),2645.73)</f>
        <v>2645.73</v>
      </c>
      <c r="F34" s="44"/>
      <c r="G34" s="4"/>
      <c r="H34" s="4"/>
      <c r="I34" s="4" t="s">
        <v>78</v>
      </c>
    </row>
    <row r="35" ht="14.25" customHeight="1">
      <c r="A35" s="25" t="s">
        <v>74</v>
      </c>
      <c r="B35" s="26" t="s">
        <v>1888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  <c r="F35" s="45"/>
    </row>
    <row r="36" ht="14.25" customHeight="1">
      <c r="A36" s="25" t="s">
        <v>74</v>
      </c>
      <c r="B36" s="26" t="s">
        <v>1889</v>
      </c>
      <c r="C36" s="25" t="s">
        <v>76</v>
      </c>
      <c r="D36" s="27">
        <v>0.0</v>
      </c>
      <c r="E36" s="173">
        <f>IFERROR(__xludf.DUMMYFUNCTION("IF(ISNUMBER(D36), ROUND(D36 * GOOGLEFINANCE(""CURRENCY:USDINR""), 2), """")"),0.0)</f>
        <v>0</v>
      </c>
      <c r="F36" s="45"/>
    </row>
    <row r="37" ht="14.25" customHeight="1">
      <c r="A37" s="25" t="s">
        <v>74</v>
      </c>
      <c r="B37" s="26" t="s">
        <v>1892</v>
      </c>
      <c r="C37" s="25" t="s">
        <v>76</v>
      </c>
      <c r="D37" s="27">
        <v>0.0</v>
      </c>
      <c r="E37" s="173">
        <f>IFERROR(__xludf.DUMMYFUNCTION("IF(ISNUMBER(D37), ROUND(D37 * GOOGLEFINANCE(""CURRENCY:USDINR""), 2), """")"),0.0)</f>
        <v>0</v>
      </c>
      <c r="F37" s="45"/>
    </row>
    <row r="38" ht="14.25" customHeight="1">
      <c r="A38" s="25" t="s">
        <v>74</v>
      </c>
      <c r="B38" s="26" t="s">
        <v>1893</v>
      </c>
      <c r="C38" s="25" t="s">
        <v>76</v>
      </c>
      <c r="D38" s="27">
        <v>0.0</v>
      </c>
      <c r="E38" s="173">
        <f>IFERROR(__xludf.DUMMYFUNCTION("IF(ISNUMBER(D38), ROUND(D38 * GOOGLEFINANCE(""CURRENCY:USDINR""), 2), """")"),0.0)</f>
        <v>0</v>
      </c>
      <c r="F38" s="45"/>
    </row>
    <row r="39" ht="14.25" customHeight="1">
      <c r="A39" s="25" t="s">
        <v>74</v>
      </c>
      <c r="B39" s="26" t="s">
        <v>1895</v>
      </c>
      <c r="C39" s="25" t="s">
        <v>76</v>
      </c>
      <c r="D39" s="27">
        <v>0.0</v>
      </c>
      <c r="E39" s="173">
        <f>IFERROR(__xludf.DUMMYFUNCTION("IF(ISNUMBER(D39), ROUND(D39 * GOOGLEFINANCE(""CURRENCY:USDINR""), 2), """")"),0.0)</f>
        <v>0</v>
      </c>
      <c r="F39" s="45"/>
    </row>
    <row r="40" ht="14.25" customHeight="1">
      <c r="A40" s="25" t="s">
        <v>74</v>
      </c>
      <c r="B40" s="26" t="s">
        <v>1897</v>
      </c>
      <c r="C40" s="25" t="s">
        <v>76</v>
      </c>
      <c r="D40" s="27">
        <v>0.0</v>
      </c>
      <c r="E40" s="173">
        <f>IFERROR(__xludf.DUMMYFUNCTION("IF(ISNUMBER(D40), ROUND(D40 * GOOGLEFINANCE(""CURRENCY:USDINR""), 2), """")"),0.0)</f>
        <v>0</v>
      </c>
      <c r="F40" s="45"/>
    </row>
    <row r="41" ht="14.25" customHeight="1">
      <c r="A41" s="25" t="s">
        <v>74</v>
      </c>
      <c r="B41" s="26" t="s">
        <v>1898</v>
      </c>
      <c r="C41" s="25" t="s">
        <v>76</v>
      </c>
      <c r="D41" s="27">
        <v>6.5</v>
      </c>
      <c r="E41" s="173">
        <f>IFERROR(__xludf.DUMMYFUNCTION("IF(ISNUMBER(D41), ROUND(D41 * GOOGLEFINANCE(""CURRENCY:USDINR""), 2), """")"),614.19)</f>
        <v>614.19</v>
      </c>
      <c r="F41" s="45"/>
    </row>
    <row r="42" ht="14.25" customHeight="1">
      <c r="A42" s="25" t="s">
        <v>74</v>
      </c>
      <c r="B42" s="26" t="s">
        <v>1899</v>
      </c>
      <c r="C42" s="25" t="s">
        <v>76</v>
      </c>
      <c r="D42" s="27">
        <v>0.0</v>
      </c>
      <c r="E42" s="173">
        <f>IFERROR(__xludf.DUMMYFUNCTION("IF(ISNUMBER(D42), ROUND(D42 * GOOGLEFINANCE(""CURRENCY:USDINR""), 2), """")"),0.0)</f>
        <v>0</v>
      </c>
      <c r="F42" s="45"/>
    </row>
    <row r="43" ht="14.25" customHeight="1">
      <c r="A43" s="25" t="s">
        <v>74</v>
      </c>
      <c r="B43" s="26" t="s">
        <v>1900</v>
      </c>
      <c r="C43" s="25" t="s">
        <v>76</v>
      </c>
      <c r="D43" s="27">
        <v>65.0</v>
      </c>
      <c r="E43" s="173">
        <f>IFERROR(__xludf.DUMMYFUNCTION("IF(ISNUMBER(D43), ROUND(D43 * GOOGLEFINANCE(""CURRENCY:USDINR""), 2), """")"),6141.88)</f>
        <v>6141.88</v>
      </c>
      <c r="F43" s="45"/>
    </row>
    <row r="44" ht="14.25" customHeight="1">
      <c r="A44" s="25" t="s">
        <v>74</v>
      </c>
      <c r="B44" s="26" t="s">
        <v>1901</v>
      </c>
      <c r="C44" s="25" t="s">
        <v>76</v>
      </c>
      <c r="D44" s="27">
        <v>0.0</v>
      </c>
      <c r="E44" s="173">
        <f>IFERROR(__xludf.DUMMYFUNCTION("IF(ISNUMBER(D44), ROUND(D44 * GOOGLEFINANCE(""CURRENCY:USDINR""), 2), """")"),0.0)</f>
        <v>0</v>
      </c>
      <c r="F44" s="45"/>
    </row>
    <row r="45" ht="14.25" customHeight="1">
      <c r="A45" s="25" t="s">
        <v>74</v>
      </c>
      <c r="B45" s="26" t="s">
        <v>1902</v>
      </c>
      <c r="C45" s="25" t="s">
        <v>76</v>
      </c>
      <c r="D45" s="27">
        <v>42.0</v>
      </c>
      <c r="E45" s="173">
        <f>IFERROR(__xludf.DUMMYFUNCTION("IF(ISNUMBER(D45), ROUND(D45 * GOOGLEFINANCE(""CURRENCY:USDINR""), 2), """")"),3968.6)</f>
        <v>3968.6</v>
      </c>
      <c r="F45" s="45"/>
    </row>
    <row r="46" ht="14.25" customHeight="1">
      <c r="A46" s="25" t="s">
        <v>74</v>
      </c>
      <c r="B46" s="26" t="s">
        <v>1903</v>
      </c>
      <c r="C46" s="25" t="s">
        <v>76</v>
      </c>
      <c r="D46" s="178" t="s">
        <v>120</v>
      </c>
      <c r="E46" s="173" t="s">
        <v>120</v>
      </c>
      <c r="F46" s="45"/>
    </row>
    <row r="47" ht="14.25" customHeight="1">
      <c r="A47" s="25" t="s">
        <v>74</v>
      </c>
      <c r="B47" s="29" t="s">
        <v>1904</v>
      </c>
      <c r="C47" s="25" t="s">
        <v>76</v>
      </c>
      <c r="D47" s="178" t="s">
        <v>120</v>
      </c>
      <c r="E47" s="173" t="s">
        <v>120</v>
      </c>
      <c r="F47" s="30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47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1891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1896</v>
      </c>
    </row>
    <row r="4" ht="14.25" customHeight="1">
      <c r="A4" s="9" t="s">
        <v>19</v>
      </c>
      <c r="B4" s="8" t="s">
        <v>1811</v>
      </c>
    </row>
    <row r="5" ht="14.25" customHeight="1">
      <c r="A5" s="7" t="s">
        <v>24</v>
      </c>
      <c r="B5" s="8" t="s">
        <v>1812</v>
      </c>
    </row>
    <row r="6" ht="14.25" customHeight="1">
      <c r="A6" s="9" t="s">
        <v>1813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125.0</v>
      </c>
      <c r="G10" s="127">
        <f>IFERROR(__xludf.DUMMYFUNCTION("IF(ISNUMBER(F10), ROUND(F10 * GOOGLEFINANCE(""CURRENCY:USDINR""), 2), """")"),11811.31)</f>
        <v>11811.31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85.0</v>
      </c>
      <c r="G11" s="127">
        <f>IFERROR(__xludf.DUMMYFUNCTION("IF(ISNUMBER(F11), ROUND(F11 * GOOGLEFINANCE(""CURRENCY:USDINR""), 2), """")"),8031.69)</f>
        <v>8031.69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195.0</v>
      </c>
      <c r="G12" s="127">
        <f>IFERROR(__xludf.DUMMYFUNCTION("IF(ISNUMBER(F12), ROUND(F12 * GOOGLEFINANCE(""CURRENCY:USDINR""), 2), """")"),18425.65)</f>
        <v>18425.65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135.0</v>
      </c>
      <c r="G13" s="127">
        <f>IFERROR(__xludf.DUMMYFUNCTION("IF(ISNUMBER(F13), ROUND(F13 * GOOGLEFINANCE(""CURRENCY:USDINR""), 2), """")"),12756.22)</f>
        <v>12756.22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320.0</v>
      </c>
      <c r="G14" s="127">
        <f>IFERROR(__xludf.DUMMYFUNCTION("IF(ISNUMBER(F14), ROUND(F14 * GOOGLEFINANCE(""CURRENCY:USDINR""), 2), """")"),30236.96)</f>
        <v>30236.96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230.0</v>
      </c>
      <c r="G15" s="127">
        <f>IFERROR(__xludf.DUMMYFUNCTION("IF(ISNUMBER(F15), ROUND(F15 * GOOGLEFINANCE(""CURRENCY:USDINR""), 2), """")"),21732.82)</f>
        <v>21732.82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460.0</v>
      </c>
      <c r="G16" s="127">
        <f>IFERROR(__xludf.DUMMYFUNCTION("IF(ISNUMBER(F16), ROUND(F16 * GOOGLEFINANCE(""CURRENCY:USDINR""), 2), """")"),43465.63)</f>
        <v>43465.63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320.0</v>
      </c>
      <c r="G17" s="127">
        <f>IFERROR(__xludf.DUMMYFUNCTION("IF(ISNUMBER(F17), ROUND(F17 * GOOGLEFINANCE(""CURRENCY:USDINR""), 2), """")"),30236.96)</f>
        <v>30236.96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90.0</v>
      </c>
      <c r="G18" s="127">
        <f>IFERROR(__xludf.DUMMYFUNCTION("IF(ISNUMBER(F18), ROUND(F18 * GOOGLEFINANCE(""CURRENCY:USDINR""), 2), """")"),8504.15)</f>
        <v>8504.15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90.0</v>
      </c>
      <c r="G19" s="127">
        <f>IFERROR(__xludf.DUMMYFUNCTION("IF(ISNUMBER(F19), ROUND(F19 * GOOGLEFINANCE(""CURRENCY:USDINR""), 2), """")"),8504.15)</f>
        <v>8504.15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75.0</v>
      </c>
      <c r="G20" s="127">
        <f>IFERROR(__xludf.DUMMYFUNCTION("IF(ISNUMBER(F20), ROUND(F20 * GOOGLEFINANCE(""CURRENCY:USDINR""), 2), """")"),7086.79)</f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270.0</v>
      </c>
      <c r="G21" s="127">
        <f>IFERROR(__xludf.DUMMYFUNCTION("IF(ISNUMBER(F21), ROUND(F21 * GOOGLEFINANCE(""CURRENCY:USDINR""), 2), """")"),25512.44)</f>
        <v>25512.44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35.0</v>
      </c>
      <c r="G22" s="127">
        <f>IFERROR(__xludf.DUMMYFUNCTION("IF(ISNUMBER(F22), ROUND(F22 * GOOGLEFINANCE(""CURRENCY:USDINR""), 2), """")"),3307.17)</f>
        <v>3307.17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35.0</v>
      </c>
      <c r="G24" s="127">
        <f>IFERROR(__xludf.DUMMYFUNCTION("IF(ISNUMBER(F24), ROUND(F24 * GOOGLEFINANCE(""CURRENCY:USDINR""), 2), """")"),3307.17)</f>
        <v>3307.17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27">
        <f>IFERROR(__xludf.DUMMYFUNCTION("IF(ISNUMBER(F25), ROUND(F25 * GOOGLEFINANCE(""CURRENCY:USDINR""), 2), """")"),944.91)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27">
        <f>IFERROR(__xludf.DUMMYFUNCTION("IF(ISNUMBER(F26), ROUND(F26 * GOOGLEFINANCE(""CURRENCY:USDINR""), 2), """")"),472.45)</f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1905</v>
      </c>
      <c r="C29" s="21" t="s">
        <v>76</v>
      </c>
      <c r="D29" s="23">
        <v>14.0</v>
      </c>
      <c r="E29" s="172">
        <f>IFERROR(__xludf.DUMMYFUNCTION("IF(ISNUMBER(D29), ROUND(D29 * GOOGLEFINANCE(""CURRENCY:USDINR""), 2), """")"),1322.87)</f>
        <v>1322.87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1906</v>
      </c>
      <c r="C30" s="25" t="s">
        <v>76</v>
      </c>
      <c r="D30" s="27">
        <v>14.0</v>
      </c>
      <c r="E30" s="173">
        <f>IFERROR(__xludf.DUMMYFUNCTION("IF(ISNUMBER(D30), ROUND(D30 * GOOGLEFINANCE(""CURRENCY:USDINR""), 2), """")"),1322.87)</f>
        <v>1322.87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1907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1908</v>
      </c>
      <c r="C32" s="25" t="s">
        <v>76</v>
      </c>
      <c r="D32" s="27">
        <v>2.5</v>
      </c>
      <c r="E32" s="173">
        <f>IFERROR(__xludf.DUMMYFUNCTION("IF(ISNUMBER(D32), ROUND(D32 * GOOGLEFINANCE(""CURRENCY:USDINR""), 2), """")"),236.23)</f>
        <v>236.23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1909</v>
      </c>
      <c r="C33" s="25" t="s">
        <v>76</v>
      </c>
      <c r="D33" s="27">
        <v>4.5</v>
      </c>
      <c r="E33" s="173">
        <f>IFERROR(__xludf.DUMMYFUNCTION("IF(ISNUMBER(D33), ROUND(D33 * GOOGLEFINANCE(""CURRENCY:USDINR""), 2), """")"),425.21)</f>
        <v>425.21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1910</v>
      </c>
      <c r="C34" s="25" t="s">
        <v>76</v>
      </c>
      <c r="D34" s="27">
        <v>3.5</v>
      </c>
      <c r="E34" s="173">
        <f>IFERROR(__xludf.DUMMYFUNCTION("IF(ISNUMBER(D34), ROUND(D34 * GOOGLEFINANCE(""CURRENCY:USDINR""), 2), """")"),330.72)</f>
        <v>330.72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1911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</row>
    <row r="36" ht="14.25" customHeight="1">
      <c r="A36" s="25" t="s">
        <v>74</v>
      </c>
      <c r="B36" s="26" t="s">
        <v>1912</v>
      </c>
      <c r="C36" s="25" t="s">
        <v>76</v>
      </c>
      <c r="D36" s="27">
        <v>50.0</v>
      </c>
      <c r="E36" s="173">
        <f>IFERROR(__xludf.DUMMYFUNCTION("IF(ISNUMBER(D36), ROUND(D36 * GOOGLEFINANCE(""CURRENCY:USDINR""), 2), """")"),4724.53)</f>
        <v>4724.53</v>
      </c>
    </row>
    <row r="37" ht="14.25" customHeight="1">
      <c r="A37" s="25" t="s">
        <v>74</v>
      </c>
      <c r="B37" s="26" t="s">
        <v>1913</v>
      </c>
      <c r="C37" s="25" t="s">
        <v>76</v>
      </c>
      <c r="D37" s="27">
        <v>32.0</v>
      </c>
      <c r="E37" s="173">
        <f>IFERROR(__xludf.DUMMYFUNCTION("IF(ISNUMBER(D37), ROUND(D37 * GOOGLEFINANCE(""CURRENCY:USDINR""), 2), """")"),3023.7)</f>
        <v>3023.7</v>
      </c>
    </row>
    <row r="38" ht="14.25" customHeight="1">
      <c r="A38" s="25" t="s">
        <v>74</v>
      </c>
      <c r="B38" s="26" t="s">
        <v>1914</v>
      </c>
      <c r="C38" s="25" t="s">
        <v>76</v>
      </c>
      <c r="D38" s="27">
        <v>8.0</v>
      </c>
      <c r="E38" s="173">
        <f>IFERROR(__xludf.DUMMYFUNCTION("IF(ISNUMBER(D38), ROUND(D38 * GOOGLEFINANCE(""CURRENCY:USDINR""), 2), """")"),755.92)</f>
        <v>755.92</v>
      </c>
    </row>
    <row r="39" ht="14.25" customHeight="1">
      <c r="A39" s="25" t="s">
        <v>74</v>
      </c>
      <c r="B39" s="26" t="s">
        <v>1915</v>
      </c>
      <c r="C39" s="25" t="s">
        <v>76</v>
      </c>
      <c r="D39" s="27">
        <v>4.5</v>
      </c>
      <c r="E39" s="173">
        <f>IFERROR(__xludf.DUMMYFUNCTION("IF(ISNUMBER(D39), ROUND(D39 * GOOGLEFINANCE(""CURRENCY:USDINR""), 2), """")"),425.21)</f>
        <v>425.21</v>
      </c>
    </row>
    <row r="40" ht="14.25" customHeight="1">
      <c r="A40" s="25" t="s">
        <v>74</v>
      </c>
      <c r="B40" s="29" t="s">
        <v>1916</v>
      </c>
      <c r="C40" s="25" t="s">
        <v>76</v>
      </c>
      <c r="D40" s="27">
        <v>14.0</v>
      </c>
      <c r="E40" s="173">
        <f>IFERROR(__xludf.DUMMYFUNCTION("IF(ISNUMBER(D40), ROUND(D40 * GOOGLEFINANCE(""CURRENCY:USDINR""), 2), """")"),1322.87)</f>
        <v>1322.87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1918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1923</v>
      </c>
    </row>
    <row r="4" ht="14.25" customHeight="1">
      <c r="A4" s="9" t="s">
        <v>19</v>
      </c>
      <c r="B4" s="8" t="s">
        <v>1920</v>
      </c>
    </row>
    <row r="5" ht="14.25" customHeight="1">
      <c r="A5" s="7" t="s">
        <v>24</v>
      </c>
      <c r="B5" s="8" t="s">
        <v>1921</v>
      </c>
    </row>
    <row r="6" ht="14.25" customHeight="1">
      <c r="A6" s="9" t="s">
        <v>1922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125.0</v>
      </c>
      <c r="G10" s="127">
        <f>IFERROR(__xludf.DUMMYFUNCTION("IF(ISNUMBER(F10), ROUND(F10 * GOOGLEFINANCE(""CURRENCY:USDINR""), 2), """")"),11811.31)</f>
        <v>11811.31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85.0</v>
      </c>
      <c r="G11" s="127">
        <f>IFERROR(__xludf.DUMMYFUNCTION("IF(ISNUMBER(F11), ROUND(F11 * GOOGLEFINANCE(""CURRENCY:USDINR""), 2), """")"),8031.69)</f>
        <v>8031.69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195.0</v>
      </c>
      <c r="G12" s="127">
        <f>IFERROR(__xludf.DUMMYFUNCTION("IF(ISNUMBER(F12), ROUND(F12 * GOOGLEFINANCE(""CURRENCY:USDINR""), 2), """")"),18425.65)</f>
        <v>18425.65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135.0</v>
      </c>
      <c r="G13" s="127">
        <f>IFERROR(__xludf.DUMMYFUNCTION("IF(ISNUMBER(F13), ROUND(F13 * GOOGLEFINANCE(""CURRENCY:USDINR""), 2), """")"),12756.22)</f>
        <v>12756.22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320.0</v>
      </c>
      <c r="G14" s="127">
        <f>IFERROR(__xludf.DUMMYFUNCTION("IF(ISNUMBER(F14), ROUND(F14 * GOOGLEFINANCE(""CURRENCY:USDINR""), 2), """")"),30236.96)</f>
        <v>30236.96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230.0</v>
      </c>
      <c r="G15" s="127">
        <f>IFERROR(__xludf.DUMMYFUNCTION("IF(ISNUMBER(F15), ROUND(F15 * GOOGLEFINANCE(""CURRENCY:USDINR""), 2), """")"),21732.82)</f>
        <v>21732.82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460.0</v>
      </c>
      <c r="G16" s="127">
        <f>IFERROR(__xludf.DUMMYFUNCTION("IF(ISNUMBER(F16), ROUND(F16 * GOOGLEFINANCE(""CURRENCY:USDINR""), 2), """")"),43465.63)</f>
        <v>43465.63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320.0</v>
      </c>
      <c r="G17" s="127">
        <f>IFERROR(__xludf.DUMMYFUNCTION("IF(ISNUMBER(F17), ROUND(F17 * GOOGLEFINANCE(""CURRENCY:USDINR""), 2), """")"),30236.96)</f>
        <v>30236.96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90.0</v>
      </c>
      <c r="G18" s="127">
        <f>IFERROR(__xludf.DUMMYFUNCTION("IF(ISNUMBER(F18), ROUND(F18 * GOOGLEFINANCE(""CURRENCY:USDINR""), 2), """")"),8504.15)</f>
        <v>8504.15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90.0</v>
      </c>
      <c r="G19" s="127">
        <f>IFERROR(__xludf.DUMMYFUNCTION("IF(ISNUMBER(F19), ROUND(F19 * GOOGLEFINANCE(""CURRENCY:USDINR""), 2), """")"),8504.15)</f>
        <v>8504.15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75.0</v>
      </c>
      <c r="G20" s="127">
        <f>IFERROR(__xludf.DUMMYFUNCTION("IF(ISNUMBER(F20), ROUND(F20 * GOOGLEFINANCE(""CURRENCY:USDINR""), 2), """")"),7086.79)</f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270.0</v>
      </c>
      <c r="G21" s="127">
        <f>IFERROR(__xludf.DUMMYFUNCTION("IF(ISNUMBER(F21), ROUND(F21 * GOOGLEFINANCE(""CURRENCY:USDINR""), 2), """")"),25512.44)</f>
        <v>25512.44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35.0</v>
      </c>
      <c r="G22" s="127">
        <f>IFERROR(__xludf.DUMMYFUNCTION("IF(ISNUMBER(F22), ROUND(F22 * GOOGLEFINANCE(""CURRENCY:USDINR""), 2), """")"),3307.17)</f>
        <v>3307.17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35.0</v>
      </c>
      <c r="G24" s="127">
        <f>IFERROR(__xludf.DUMMYFUNCTION("IF(ISNUMBER(F24), ROUND(F24 * GOOGLEFINANCE(""CURRENCY:USDINR""), 2), """")"),3307.17)</f>
        <v>3307.17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27">
        <f>IFERROR(__xludf.DUMMYFUNCTION("IF(ISNUMBER(F25), ROUND(F25 * GOOGLEFINANCE(""CURRENCY:USDINR""), 2), """")"),944.91)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27">
        <f>IFERROR(__xludf.DUMMYFUNCTION("IF(ISNUMBER(F26), ROUND(F26 * GOOGLEFINANCE(""CURRENCY:USDINR""), 2), """")"),472.45)</f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1928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1929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1930</v>
      </c>
      <c r="C31" s="25" t="s">
        <v>76</v>
      </c>
      <c r="D31" s="27">
        <v>9.0</v>
      </c>
      <c r="E31" s="173">
        <f>IFERROR(__xludf.DUMMYFUNCTION("IF(ISNUMBER(D31), ROUND(D31 * GOOGLEFINANCE(""CURRENCY:USDINR""), 2), """")"),850.41)</f>
        <v>850.41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1931</v>
      </c>
      <c r="C32" s="37" t="s">
        <v>76</v>
      </c>
      <c r="D32" s="39">
        <v>28.0</v>
      </c>
      <c r="E32" s="174">
        <f>IFERROR(__xludf.DUMMYFUNCTION("IF(ISNUMBER(D32), ROUND(D32 * GOOGLEFINANCE(""CURRENCY:USDINR""), 2), """")"),2645.73)</f>
        <v>2645.73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1917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1919</v>
      </c>
    </row>
    <row r="4" ht="14.25" customHeight="1">
      <c r="A4" s="9" t="s">
        <v>19</v>
      </c>
      <c r="B4" s="8" t="s">
        <v>1920</v>
      </c>
    </row>
    <row r="5" ht="14.25" customHeight="1">
      <c r="A5" s="7" t="s">
        <v>24</v>
      </c>
      <c r="B5" s="8" t="s">
        <v>1921</v>
      </c>
    </row>
    <row r="6" ht="14.25" customHeight="1">
      <c r="A6" s="9" t="s">
        <v>1922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125.0</v>
      </c>
      <c r="G10" s="127">
        <f>IFERROR(__xludf.DUMMYFUNCTION("IF(ISNUMBER(F10), ROUND(F10 * GOOGLEFINANCE(""CURRENCY:USDINR""), 2), """")"),11811.31)</f>
        <v>11811.31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85.0</v>
      </c>
      <c r="G11" s="127">
        <f>IFERROR(__xludf.DUMMYFUNCTION("IF(ISNUMBER(F11), ROUND(F11 * GOOGLEFINANCE(""CURRENCY:USDINR""), 2), """")"),8031.69)</f>
        <v>8031.69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195.0</v>
      </c>
      <c r="G12" s="127">
        <f>IFERROR(__xludf.DUMMYFUNCTION("IF(ISNUMBER(F12), ROUND(F12 * GOOGLEFINANCE(""CURRENCY:USDINR""), 2), """")"),18425.65)</f>
        <v>18425.65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135.0</v>
      </c>
      <c r="G13" s="127">
        <f>IFERROR(__xludf.DUMMYFUNCTION("IF(ISNUMBER(F13), ROUND(F13 * GOOGLEFINANCE(""CURRENCY:USDINR""), 2), """")"),12756.22)</f>
        <v>12756.22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320.0</v>
      </c>
      <c r="G14" s="127">
        <f>IFERROR(__xludf.DUMMYFUNCTION("IF(ISNUMBER(F14), ROUND(F14 * GOOGLEFINANCE(""CURRENCY:USDINR""), 2), """")"),30236.96)</f>
        <v>30236.96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230.0</v>
      </c>
      <c r="G15" s="127">
        <f>IFERROR(__xludf.DUMMYFUNCTION("IF(ISNUMBER(F15), ROUND(F15 * GOOGLEFINANCE(""CURRENCY:USDINR""), 2), """")"),21732.82)</f>
        <v>21732.82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460.0</v>
      </c>
      <c r="G16" s="127">
        <f>IFERROR(__xludf.DUMMYFUNCTION("IF(ISNUMBER(F16), ROUND(F16 * GOOGLEFINANCE(""CURRENCY:USDINR""), 2), """")"),43465.63)</f>
        <v>43465.63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320.0</v>
      </c>
      <c r="G17" s="127">
        <f>IFERROR(__xludf.DUMMYFUNCTION("IF(ISNUMBER(F17), ROUND(F17 * GOOGLEFINANCE(""CURRENCY:USDINR""), 2), """")"),30236.96)</f>
        <v>30236.96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90.0</v>
      </c>
      <c r="G18" s="127">
        <f>IFERROR(__xludf.DUMMYFUNCTION("IF(ISNUMBER(F18), ROUND(F18 * GOOGLEFINANCE(""CURRENCY:USDINR""), 2), """")"),8504.15)</f>
        <v>8504.15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90.0</v>
      </c>
      <c r="G19" s="127">
        <f>IFERROR(__xludf.DUMMYFUNCTION("IF(ISNUMBER(F19), ROUND(F19 * GOOGLEFINANCE(""CURRENCY:USDINR""), 2), """")"),8504.15)</f>
        <v>8504.15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75.0</v>
      </c>
      <c r="G20" s="127">
        <f>IFERROR(__xludf.DUMMYFUNCTION("IF(ISNUMBER(F20), ROUND(F20 * GOOGLEFINANCE(""CURRENCY:USDINR""), 2), """")"),7086.79)</f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270.0</v>
      </c>
      <c r="G21" s="127">
        <f>IFERROR(__xludf.DUMMYFUNCTION("IF(ISNUMBER(F21), ROUND(F21 * GOOGLEFINANCE(""CURRENCY:USDINR""), 2), """")"),25512.44)</f>
        <v>25512.44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35.0</v>
      </c>
      <c r="G22" s="127">
        <f>IFERROR(__xludf.DUMMYFUNCTION("IF(ISNUMBER(F22), ROUND(F22 * GOOGLEFINANCE(""CURRENCY:USDINR""), 2), """")"),3307.17)</f>
        <v>3307.17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35.0</v>
      </c>
      <c r="G24" s="127">
        <f>IFERROR(__xludf.DUMMYFUNCTION("IF(ISNUMBER(F24), ROUND(F24 * GOOGLEFINANCE(""CURRENCY:USDINR""), 2), """")"),3307.17)</f>
        <v>3307.17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27">
        <f>IFERROR(__xludf.DUMMYFUNCTION("IF(ISNUMBER(F25), ROUND(F25 * GOOGLEFINANCE(""CURRENCY:USDINR""), 2), """")"),944.91)</f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27">
        <f>IFERROR(__xludf.DUMMYFUNCTION("IF(ISNUMBER(F26), ROUND(F26 * GOOGLEFINANCE(""CURRENCY:USDINR""), 2), """")"),472.45)</f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1924</v>
      </c>
      <c r="C29" s="21" t="s">
        <v>76</v>
      </c>
      <c r="D29" s="23">
        <v>8.0</v>
      </c>
      <c r="E29" s="172">
        <f>IFERROR(__xludf.DUMMYFUNCTION("IF(ISNUMBER(D29), ROUND(D29 * GOOGLEFINANCE(""CURRENCY:USDINR""), 2), """")"),755.92)</f>
        <v>755.92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1925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1926</v>
      </c>
      <c r="C31" s="25" t="s">
        <v>76</v>
      </c>
      <c r="D31" s="27">
        <v>15.0</v>
      </c>
      <c r="E31" s="173">
        <f>IFERROR(__xludf.DUMMYFUNCTION("IF(ISNUMBER(D31), ROUND(D31 * GOOGLEFINANCE(""CURRENCY:USDINR""), 2), """")"),1417.36)</f>
        <v>1417.36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1927</v>
      </c>
      <c r="C32" s="37" t="s">
        <v>76</v>
      </c>
      <c r="D32" s="39">
        <v>45.0</v>
      </c>
      <c r="E32" s="174">
        <f>IFERROR(__xludf.DUMMYFUNCTION("IF(ISNUMBER(D32), ROUND(D32 * GOOGLEFINANCE(""CURRENCY:USDINR""), 2), """")"),4252.07)</f>
        <v>4252.07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1932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1934</v>
      </c>
    </row>
    <row r="4" ht="14.25" customHeight="1">
      <c r="A4" s="9" t="s">
        <v>19</v>
      </c>
      <c r="B4" s="8" t="s">
        <v>1935</v>
      </c>
    </row>
    <row r="5" ht="14.25" customHeight="1">
      <c r="A5" s="7" t="s">
        <v>24</v>
      </c>
      <c r="B5" s="8" t="s">
        <v>1936</v>
      </c>
    </row>
    <row r="6" ht="14.25" customHeight="1">
      <c r="A6" s="9" t="s">
        <v>1938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22" t="s">
        <v>1941</v>
      </c>
      <c r="C29" s="4" t="s">
        <v>76</v>
      </c>
      <c r="D29" s="14">
        <v>25.0</v>
      </c>
      <c r="E29" s="127">
        <f>IFERROR(__xludf.DUMMYFUNCTION("IF(ISNUMBER(D29), ROUND(D29 * GOOGLEFINANCE(""CURRENCY:USDINR""), 2), """")"),2362.26)</f>
        <v>2362.26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26" t="s">
        <v>1942</v>
      </c>
      <c r="C30" s="4" t="s">
        <v>76</v>
      </c>
      <c r="D30" s="14">
        <v>25.0</v>
      </c>
      <c r="E30" s="127">
        <f>IFERROR(__xludf.DUMMYFUNCTION("IF(ISNUMBER(D30), ROUND(D30 * GOOGLEFINANCE(""CURRENCY:USDINR""), 2), """")"),2362.26)</f>
        <v>2362.26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26" t="s">
        <v>1943</v>
      </c>
      <c r="C31" s="4" t="s">
        <v>76</v>
      </c>
      <c r="D31" s="14">
        <v>0.0</v>
      </c>
      <c r="E31" s="127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26" t="s">
        <v>1944</v>
      </c>
      <c r="C32" s="4" t="s">
        <v>76</v>
      </c>
      <c r="D32" s="14">
        <v>0.0</v>
      </c>
      <c r="E32" s="127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26" t="s">
        <v>1945</v>
      </c>
      <c r="C33" s="4" t="s">
        <v>76</v>
      </c>
      <c r="D33" s="14">
        <v>0.0</v>
      </c>
      <c r="E33" s="127">
        <f>IFERROR(__xludf.DUMMYFUNCTION("IF(ISNUMBER(D33), ROUND(D33 * GOOGLEFINANCE(""CURRENCY:USDINR""), 2), """")"),0.0)</f>
        <v>0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26" t="s">
        <v>1946</v>
      </c>
      <c r="C34" s="4" t="s">
        <v>76</v>
      </c>
      <c r="D34" s="14">
        <v>0.0</v>
      </c>
      <c r="E34" s="127">
        <f>IFERROR(__xludf.DUMMYFUNCTION("IF(ISNUMBER(D34), ROUND(D34 * GOOGLEFINANCE(""CURRENCY:USDINR""), 2), """")"),0.0)</f>
        <v>0</v>
      </c>
      <c r="F34" s="19"/>
      <c r="G34" s="4"/>
      <c r="H34" s="4"/>
      <c r="I34" s="4" t="s">
        <v>78</v>
      </c>
    </row>
    <row r="35" ht="14.25" customHeight="1">
      <c r="A35" s="179" t="s">
        <v>74</v>
      </c>
      <c r="B35" s="26" t="s">
        <v>1947</v>
      </c>
      <c r="C35" s="179" t="s">
        <v>76</v>
      </c>
      <c r="D35" s="180">
        <v>0.0</v>
      </c>
      <c r="E35" s="181">
        <f>IFERROR(__xludf.DUMMYFUNCTION("IF(ISNUMBER(D35), ROUND(D35 * GOOGLEFINANCE(""CURRENCY:USDINR""), 2), """")"),0.0)</f>
        <v>0</v>
      </c>
      <c r="F35" s="41"/>
      <c r="G35" s="41"/>
      <c r="H35" s="41"/>
      <c r="I35" s="41"/>
    </row>
    <row r="36" ht="14.25" customHeight="1">
      <c r="A36" s="101" t="s">
        <v>74</v>
      </c>
      <c r="B36" s="29" t="s">
        <v>1948</v>
      </c>
      <c r="C36" s="101" t="s">
        <v>76</v>
      </c>
      <c r="D36" s="102">
        <v>0.0</v>
      </c>
      <c r="E36" s="182">
        <f>IFERROR(__xludf.DUMMYFUNCTION("IF(ISNUMBER(D36), ROUND(D36 * GOOGLEFINANCE(""CURRENCY:USDINR""), 2), """")"),0.0)</f>
        <v>0</v>
      </c>
      <c r="F36" s="30"/>
      <c r="G36" s="30"/>
      <c r="H36" s="30"/>
      <c r="I36" s="30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6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1933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1937</v>
      </c>
    </row>
    <row r="4" ht="14.25" customHeight="1">
      <c r="A4" s="9" t="s">
        <v>19</v>
      </c>
      <c r="B4" s="8" t="s">
        <v>1935</v>
      </c>
    </row>
    <row r="5" ht="14.25" customHeight="1">
      <c r="A5" s="7" t="s">
        <v>24</v>
      </c>
      <c r="B5" s="8" t="s">
        <v>1939</v>
      </c>
    </row>
    <row r="6" ht="14.25" customHeight="1">
      <c r="A6" s="9" t="s">
        <v>1940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1949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1950</v>
      </c>
      <c r="C30" s="25" t="s">
        <v>76</v>
      </c>
      <c r="D30" s="27">
        <v>3.5</v>
      </c>
      <c r="E30" s="173">
        <f>IFERROR(__xludf.DUMMYFUNCTION("IF(ISNUMBER(D30), ROUND(D30 * GOOGLEFINANCE(""CURRENCY:USDINR""), 2), """")"),330.72)</f>
        <v>330.72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1951</v>
      </c>
      <c r="C31" s="25" t="s">
        <v>76</v>
      </c>
      <c r="D31" s="27">
        <v>3.5</v>
      </c>
      <c r="E31" s="173">
        <f>IFERROR(__xludf.DUMMYFUNCTION("IF(ISNUMBER(D31), ROUND(D31 * GOOGLEFINANCE(""CURRENCY:USDINR""), 2), """")"),330.72)</f>
        <v>330.72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1952</v>
      </c>
      <c r="C32" s="25" t="s">
        <v>76</v>
      </c>
      <c r="D32" s="27">
        <v>25.0</v>
      </c>
      <c r="E32" s="173">
        <f>IFERROR(__xludf.DUMMYFUNCTION("IF(ISNUMBER(D32), ROUND(D32 * GOOGLEFINANCE(""CURRENCY:USDINR""), 2), """")"),2362.26)</f>
        <v>2362.26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1953</v>
      </c>
      <c r="C33" s="25" t="s">
        <v>76</v>
      </c>
      <c r="D33" s="27">
        <v>5.5</v>
      </c>
      <c r="E33" s="173">
        <f>IFERROR(__xludf.DUMMYFUNCTION("IF(ISNUMBER(D33), ROUND(D33 * GOOGLEFINANCE(""CURRENCY:USDINR""), 2), """")"),519.7)</f>
        <v>519.7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1954</v>
      </c>
      <c r="C34" s="25" t="s">
        <v>76</v>
      </c>
      <c r="D34" s="27">
        <v>4.5</v>
      </c>
      <c r="E34" s="173">
        <f>IFERROR(__xludf.DUMMYFUNCTION("IF(ISNUMBER(D34), ROUND(D34 * GOOGLEFINANCE(""CURRENCY:USDINR""), 2), """")"),425.21)</f>
        <v>425.21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1955</v>
      </c>
      <c r="C35" s="25" t="s">
        <v>76</v>
      </c>
      <c r="D35" s="27">
        <v>3.5</v>
      </c>
      <c r="E35" s="173">
        <f>IFERROR(__xludf.DUMMYFUNCTION("IF(ISNUMBER(D35), ROUND(D35 * GOOGLEFINANCE(""CURRENCY:USDINR""), 2), """")"),330.72)</f>
        <v>330.72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1956</v>
      </c>
      <c r="C36" s="25" t="s">
        <v>76</v>
      </c>
      <c r="D36" s="27">
        <v>10.0</v>
      </c>
      <c r="E36" s="173">
        <f>IFERROR(__xludf.DUMMYFUNCTION("IF(ISNUMBER(D36), ROUND(D36 * GOOGLEFINANCE(""CURRENCY:USDINR""), 2), """")"),944.91)</f>
        <v>944.91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1958</v>
      </c>
      <c r="C37" s="25" t="s">
        <v>76</v>
      </c>
      <c r="D37" s="27">
        <v>20.0</v>
      </c>
      <c r="E37" s="173">
        <f>IFERROR(__xludf.DUMMYFUNCTION("IF(ISNUMBER(D37), ROUND(D37 * GOOGLEFINANCE(""CURRENCY:USDINR""), 2), """")"),1889.81)</f>
        <v>1889.81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1960</v>
      </c>
      <c r="C38" s="25" t="s">
        <v>76</v>
      </c>
      <c r="D38" s="27">
        <v>0.0</v>
      </c>
      <c r="E38" s="173">
        <f>IFERROR(__xludf.DUMMYFUNCTION("IF(ISNUMBER(D38), ROUND(D38 * GOOGLEFINANCE(""CURRENCY:USDINR""),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1961</v>
      </c>
      <c r="C39" s="25" t="s">
        <v>76</v>
      </c>
      <c r="D39" s="27">
        <v>5.0</v>
      </c>
      <c r="E39" s="173">
        <f>IFERROR(__xludf.DUMMYFUNCTION("IF(ISNUMBER(D39), ROUND(D39 * GOOGLEFINANCE(""CURRENCY:USDINR""), 2), """")"),472.45)</f>
        <v>472.45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9" t="s">
        <v>1962</v>
      </c>
      <c r="C40" s="25" t="s">
        <v>76</v>
      </c>
      <c r="D40" s="27">
        <v>3.0</v>
      </c>
      <c r="E40" s="173">
        <f>IFERROR(__xludf.DUMMYFUNCTION("IF(ISNUMBER(D40), ROUND(D40 * GOOGLEFINANCE(""CURRENCY:USDINR""), 2), """")"),283.47)</f>
        <v>283.47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1957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1959</v>
      </c>
    </row>
    <row r="4" ht="14.25" customHeight="1">
      <c r="A4" s="9" t="s">
        <v>19</v>
      </c>
      <c r="B4" s="8" t="s">
        <v>1935</v>
      </c>
    </row>
    <row r="5" ht="14.25" customHeight="1">
      <c r="A5" s="7" t="s">
        <v>24</v>
      </c>
      <c r="B5" s="8" t="s">
        <v>1939</v>
      </c>
    </row>
    <row r="6" ht="14.25" customHeight="1">
      <c r="A6" s="9" t="s">
        <v>1940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1963</v>
      </c>
      <c r="C29" s="21" t="s">
        <v>76</v>
      </c>
      <c r="D29" s="23">
        <v>3.5</v>
      </c>
      <c r="E29" s="172">
        <f>IFERROR(__xludf.DUMMYFUNCTION("IF(ISNUMBER(D29), ROUND(D29 * GOOGLEFINANCE(""CURRENCY:USDINR""), 2), """")"),330.72)</f>
        <v>330.72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1964</v>
      </c>
      <c r="C30" s="25" t="s">
        <v>76</v>
      </c>
      <c r="D30" s="27">
        <v>22.0</v>
      </c>
      <c r="E30" s="173">
        <f>IFERROR(__xludf.DUMMYFUNCTION("IF(ISNUMBER(D30), ROUND(D30 * GOOGLEFINANCE(""CURRENCY:USDINR""), 2), """")"),2078.79)</f>
        <v>2078.79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1965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1966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1967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1968</v>
      </c>
    </row>
    <row r="4" ht="14.25" customHeight="1">
      <c r="A4" s="9" t="s">
        <v>19</v>
      </c>
      <c r="B4" s="8" t="s">
        <v>1935</v>
      </c>
    </row>
    <row r="5" ht="14.25" customHeight="1">
      <c r="A5" s="7" t="s">
        <v>24</v>
      </c>
      <c r="B5" s="8" t="s">
        <v>1939</v>
      </c>
    </row>
    <row r="6" ht="14.25" customHeight="1">
      <c r="A6" s="9" t="s">
        <v>1940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1976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1977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1978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1979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1969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1970</v>
      </c>
    </row>
    <row r="4" ht="14.25" customHeight="1">
      <c r="A4" s="9" t="s">
        <v>19</v>
      </c>
      <c r="B4" s="8" t="s">
        <v>1971</v>
      </c>
    </row>
    <row r="5" ht="14.25" customHeight="1">
      <c r="A5" s="7" t="s">
        <v>24</v>
      </c>
      <c r="B5" s="8" t="s">
        <v>1972</v>
      </c>
    </row>
    <row r="6" ht="14.25" customHeight="1">
      <c r="A6" s="9" t="s">
        <v>1973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49" t="s">
        <v>1987</v>
      </c>
      <c r="C29" s="4" t="s">
        <v>76</v>
      </c>
      <c r="D29" s="14">
        <v>0.0</v>
      </c>
      <c r="E29" s="127">
        <f>IFERROR(__xludf.DUMMYFUNCTION("IF(ISNUMBER(D29), ROUND(D29 * GOOGLEFINANCE(""CURRENCY:USDINR""), 2), """")"),0.0)</f>
        <v>0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49" t="s">
        <v>1988</v>
      </c>
      <c r="C30" s="4" t="s">
        <v>76</v>
      </c>
      <c r="D30" s="14">
        <v>0.0</v>
      </c>
      <c r="E30" s="127">
        <f>IFERROR(__xludf.DUMMYFUNCTION("IF(ISNUMBER(D30), ROUND(D30 * GOOGLEFINANCE(""CURRENCY:USDINR""), 2), """")"),0.0)</f>
        <v>0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49" t="s">
        <v>1989</v>
      </c>
      <c r="C31" s="4" t="s">
        <v>76</v>
      </c>
      <c r="D31" s="14">
        <v>0.0</v>
      </c>
      <c r="E31" s="127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49" t="s">
        <v>1990</v>
      </c>
      <c r="C32" s="4" t="s">
        <v>76</v>
      </c>
      <c r="D32" s="14">
        <v>0.0</v>
      </c>
      <c r="E32" s="127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49" t="s">
        <v>1991</v>
      </c>
      <c r="C33" s="4" t="s">
        <v>76</v>
      </c>
      <c r="D33" s="14">
        <v>0.0</v>
      </c>
      <c r="E33" s="127">
        <f>IFERROR(__xludf.DUMMYFUNCTION("IF(ISNUMBER(D33), ROUND(D33 * GOOGLEFINANCE(""CURRENCY:USDINR""), 2), """")"),0.0)</f>
        <v>0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49" t="s">
        <v>1992</v>
      </c>
      <c r="C34" s="4" t="s">
        <v>76</v>
      </c>
      <c r="D34" s="14">
        <v>0.0</v>
      </c>
      <c r="E34" s="127">
        <f>IFERROR(__xludf.DUMMYFUNCTION("IF(ISNUMBER(D34), ROUND(D34 * GOOGLEFINANCE(""CURRENCY:USDINR""), 2), """")"),0.0)</f>
        <v>0</v>
      </c>
      <c r="F34" s="19"/>
      <c r="G34" s="4"/>
      <c r="H34" s="4"/>
      <c r="I34" s="4" t="s">
        <v>78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1974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1975</v>
      </c>
    </row>
    <row r="4" ht="14.25" customHeight="1">
      <c r="A4" s="9" t="s">
        <v>19</v>
      </c>
      <c r="B4" s="8" t="s">
        <v>1971</v>
      </c>
    </row>
    <row r="5" ht="14.25" customHeight="1">
      <c r="A5" s="7" t="s">
        <v>24</v>
      </c>
      <c r="B5" s="8" t="s">
        <v>1972</v>
      </c>
    </row>
    <row r="6" ht="14.25" customHeight="1">
      <c r="A6" s="9" t="s">
        <v>1973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1980</v>
      </c>
      <c r="C29" s="21" t="s">
        <v>76</v>
      </c>
      <c r="D29" s="23">
        <v>15.0</v>
      </c>
      <c r="E29" s="172">
        <f>IFERROR(__xludf.DUMMYFUNCTION("IF(ISNUMBER(D29), ROUND(D29 * GOOGLEFINANCE(""CURRENCY:USDINR""), 2), """")"),1417.36)</f>
        <v>1417.36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1981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1982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1983</v>
      </c>
      <c r="C32" s="25" t="s">
        <v>76</v>
      </c>
      <c r="D32" s="27">
        <v>25.0</v>
      </c>
      <c r="E32" s="173">
        <f>IFERROR(__xludf.DUMMYFUNCTION("IF(ISNUMBER(D32), ROUND(D32 * GOOGLEFINANCE(""CURRENCY:USDINR""), 2), """")"),2362.26)</f>
        <v>2362.26</v>
      </c>
      <c r="F32" s="19"/>
      <c r="G32" s="4"/>
      <c r="H32" s="4"/>
      <c r="I32" s="4" t="s">
        <v>78</v>
      </c>
    </row>
    <row r="33" ht="14.25" customHeight="1">
      <c r="A33" s="37" t="s">
        <v>74</v>
      </c>
      <c r="B33" s="29" t="s">
        <v>1984</v>
      </c>
      <c r="C33" s="37" t="s">
        <v>76</v>
      </c>
      <c r="D33" s="39">
        <v>0.0</v>
      </c>
      <c r="E33" s="174">
        <f>IFERROR(__xludf.DUMMYFUNCTION("IF(ISNUMBER(D33), ROUND(D33 * GOOGLEFINANCE(""CURRENCY:USDINR""), 2), """")"),0.0)</f>
        <v>0</v>
      </c>
      <c r="F33" s="19"/>
      <c r="G33" s="4"/>
      <c r="H33" s="4"/>
      <c r="I33" s="4" t="s">
        <v>78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1985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1986</v>
      </c>
    </row>
    <row r="4" ht="14.25" customHeight="1">
      <c r="A4" s="9" t="s">
        <v>19</v>
      </c>
      <c r="B4" s="8" t="s">
        <v>1971</v>
      </c>
    </row>
    <row r="5" ht="14.25" customHeight="1">
      <c r="A5" s="7" t="s">
        <v>24</v>
      </c>
      <c r="B5" s="8" t="s">
        <v>1972</v>
      </c>
    </row>
    <row r="6" ht="14.25" customHeight="1">
      <c r="A6" s="9" t="s">
        <v>1973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1993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1994</v>
      </c>
      <c r="C30" s="25" t="s">
        <v>76</v>
      </c>
      <c r="D30" s="27">
        <v>14.5</v>
      </c>
      <c r="E30" s="173">
        <f>IFERROR(__xludf.DUMMYFUNCTION("IF(ISNUMBER(D30), ROUND(D30 * GOOGLEFINANCE(""CURRENCY:USDINR""), 2), """")"),1370.11)</f>
        <v>1370.11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1995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1996</v>
      </c>
      <c r="C32" s="25" t="s">
        <v>76</v>
      </c>
      <c r="D32" s="27">
        <v>20.0</v>
      </c>
      <c r="E32" s="173">
        <f>IFERROR(__xludf.DUMMYFUNCTION("IF(ISNUMBER(D32), ROUND(D32 * GOOGLEFINANCE(""CURRENCY:USDINR""), 2), """")"),1889.81)</f>
        <v>1889.81</v>
      </c>
      <c r="F32" s="19"/>
      <c r="G32" s="4"/>
      <c r="H32" s="4"/>
      <c r="I32" s="4" t="s">
        <v>78</v>
      </c>
    </row>
    <row r="33" ht="14.25" customHeight="1">
      <c r="A33" s="37" t="s">
        <v>74</v>
      </c>
      <c r="B33" s="29" t="s">
        <v>1998</v>
      </c>
      <c r="C33" s="37" t="s">
        <v>76</v>
      </c>
      <c r="D33" s="39">
        <v>0.0</v>
      </c>
      <c r="E33" s="174">
        <f>IFERROR(__xludf.DUMMYFUNCTION("IF(ISNUMBER(D33), ROUND(D33 * GOOGLEFINANCE(""CURRENCY:USDINR""), 2), """")"),0.0)</f>
        <v>0</v>
      </c>
      <c r="F33" s="19"/>
      <c r="G33" s="4"/>
      <c r="H33" s="4"/>
      <c r="I33" s="4" t="s">
        <v>78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1997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1999</v>
      </c>
    </row>
    <row r="4" ht="14.25" customHeight="1">
      <c r="A4" s="9" t="s">
        <v>19</v>
      </c>
      <c r="B4" s="8" t="s">
        <v>1971</v>
      </c>
    </row>
    <row r="5" ht="14.25" customHeight="1">
      <c r="A5" s="7" t="s">
        <v>24</v>
      </c>
      <c r="B5" s="8" t="s">
        <v>1972</v>
      </c>
    </row>
    <row r="6" ht="14.25" customHeight="1">
      <c r="A6" s="9" t="s">
        <v>1973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49" t="s">
        <v>2005</v>
      </c>
      <c r="C29" s="4" t="s">
        <v>76</v>
      </c>
      <c r="D29" s="14">
        <v>0.0</v>
      </c>
      <c r="E29" s="127">
        <f>IFERROR(__xludf.DUMMYFUNCTION("IF(ISNUMBER(D29), ROUND(D29 * GOOGLEFINANCE(""CURRENCY:USDINR""), 2), """")"),0.0)</f>
        <v>0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49" t="s">
        <v>2006</v>
      </c>
      <c r="C30" s="4" t="s">
        <v>76</v>
      </c>
      <c r="D30" s="14">
        <v>8.5</v>
      </c>
      <c r="E30" s="127">
        <f>IFERROR(__xludf.DUMMYFUNCTION("IF(ISNUMBER(D30), ROUND(D30 * GOOGLEFINANCE(""CURRENCY:USDINR""), 2), """")"),803.17)</f>
        <v>803.17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49" t="s">
        <v>2007</v>
      </c>
      <c r="C31" s="4" t="s">
        <v>76</v>
      </c>
      <c r="D31" s="14">
        <v>0.0</v>
      </c>
      <c r="E31" s="127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49" t="s">
        <v>2008</v>
      </c>
      <c r="C32" s="4" t="s">
        <v>76</v>
      </c>
      <c r="D32" s="14">
        <v>6.0</v>
      </c>
      <c r="E32" s="127">
        <f>IFERROR(__xludf.DUMMYFUNCTION("IF(ISNUMBER(D32), ROUND(D32 * GOOGLEFINANCE(""CURRENCY:USDINR""), 2), """")"),566.94)</f>
        <v>566.94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49" t="s">
        <v>2009</v>
      </c>
      <c r="C33" s="4" t="s">
        <v>76</v>
      </c>
      <c r="D33" s="14">
        <v>0.0</v>
      </c>
      <c r="E33" s="127">
        <f>IFERROR(__xludf.DUMMYFUNCTION("IF(ISNUMBER(D33), ROUND(D33 * GOOGLEFINANCE(""CURRENCY:USDINR""), 2), """")"),0.0)</f>
        <v>0</v>
      </c>
      <c r="F33" s="19"/>
      <c r="G33" s="4"/>
      <c r="H33" s="4"/>
      <c r="I33" s="4" t="s">
        <v>78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2000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2001</v>
      </c>
    </row>
    <row r="4" ht="14.25" customHeight="1">
      <c r="A4" s="9" t="s">
        <v>19</v>
      </c>
      <c r="B4" s="8" t="s">
        <v>2002</v>
      </c>
    </row>
    <row r="5" ht="14.25" customHeight="1">
      <c r="A5" s="7" t="s">
        <v>24</v>
      </c>
      <c r="B5" s="8" t="s">
        <v>2003</v>
      </c>
    </row>
    <row r="6" ht="14.25" customHeight="1">
      <c r="A6" s="9" t="s">
        <v>2004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27">
        <f>IFERROR(__xludf.DUMMYFUNCTION("IF(ISNUMBER(F10), ROUND(F10 * GOOGLEFINANCE(""CURRENCY:USDINR""), 2), """")"),6803.32)</f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27">
        <f>IFERROR(__xludf.DUMMYFUNCTION("IF(ISNUMBER(F11), ROUND(F11 * GOOGLEFINANCE(""CURRENCY:USDINR""), 2), """")"),5102.49)</f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27">
        <f>IFERROR(__xludf.DUMMYFUNCTION("IF(ISNUMBER(F12), ROUND(F12 * GOOGLEFINANCE(""CURRENCY:USDINR""), 2), """")"),10204.97)</f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27">
        <f>IFERROR(__xludf.DUMMYFUNCTION("IF(ISNUMBER(F13), ROUND(F13 * GOOGLEFINANCE(""CURRENCY:USDINR""), 2), """")"),7370.26)</f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27">
        <f>IFERROR(__xludf.DUMMYFUNCTION("IF(ISNUMBER(F15), ROUND(F15 * GOOGLEFINANCE(""CURRENCY:USDINR""), 2), """")"),12472.75)</f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27">
        <f>IFERROR(__xludf.DUMMYFUNCTION("IF(ISNUMBER(F16), ROUND(F16 * GOOGLEFINANCE(""CURRENCY:USDINR""), 2), """")"),17008.29)</f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27">
        <f>IFERROR(__xludf.DUMMYFUNCTION("IF(ISNUMBER(F17), ROUND(F17 * GOOGLEFINANCE(""CURRENCY:USDINR""), 2), """")"),12472.75)</f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27">
        <f>IFERROR(__xludf.DUMMYFUNCTION("IF(ISNUMBER(F18), ROUND(F18 * GOOGLEFINANCE(""CURRENCY:USDINR""), 2), """")"),3401.66)</f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27">
        <f>IFERROR(__xludf.DUMMYFUNCTION("IF(ISNUMBER(F19), ROUND(F19 * GOOGLEFINANCE(""CURRENCY:USDINR""), 2), """")"),3401.66)</f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27">
        <f>IFERROR(__xludf.DUMMYFUNCTION("IF(ISNUMBER(F21), ROUND(F21 * GOOGLEFINANCE(""CURRENCY:USDINR""), 2), """")"),10204.97)</f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27">
        <f>IFERROR(__xludf.DUMMYFUNCTION("IF(ISNUMBER(F22), ROUND(F22 * GOOGLEFINANCE(""CURRENCY:USDINR""), 2), """")"),1417.36)</f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27">
        <f>IFERROR(__xludf.DUMMYFUNCTION("IF(ISNUMBER(F24), ROUND(F24 * GOOGLEFINANCE(""CURRENCY:USDINR""), 2), """")"),2267.77)</f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27">
        <f>IFERROR(__xludf.DUMMYFUNCTION("IF(ISNUMBER(F25), ROUND(F25 * GOOGLEFINANCE(""CURRENCY:USDINR""), 2), """")"),566.94)</f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27">
        <f>IFERROR(__xludf.DUMMYFUNCTION("IF(ISNUMBER(F26), ROUND(F26 * GOOGLEFINANCE(""CURRENCY:USDINR""), 2), """")"),283.47)</f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2010</v>
      </c>
      <c r="C29" s="21" t="s">
        <v>76</v>
      </c>
      <c r="D29" s="23">
        <v>8.0</v>
      </c>
      <c r="E29" s="172">
        <f>IFERROR(__xludf.DUMMYFUNCTION("IF(ISNUMBER(D29), ROUND(D29 * GOOGLEFINANCE(""CURRENCY:USDINR""), 2), """")"),755.92)</f>
        <v>755.92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2011</v>
      </c>
      <c r="C30" s="25" t="s">
        <v>76</v>
      </c>
      <c r="D30" s="27">
        <v>38.0</v>
      </c>
      <c r="E30" s="173">
        <f>IFERROR(__xludf.DUMMYFUNCTION("IF(ISNUMBER(D30), ROUND(D30 * GOOGLEFINANCE(""CURRENCY:USDINR""), 2), """")"),3590.64)</f>
        <v>3590.64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2012</v>
      </c>
      <c r="C31" s="25" t="s">
        <v>76</v>
      </c>
      <c r="D31" s="27">
        <v>26.0</v>
      </c>
      <c r="E31" s="173">
        <f>IFERROR(__xludf.DUMMYFUNCTION("IF(ISNUMBER(D31), ROUND(D31 * GOOGLEFINANCE(""CURRENCY:USDINR""), 2), """")"),2456.75)</f>
        <v>2456.75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2014</v>
      </c>
      <c r="C32" s="25" t="s">
        <v>76</v>
      </c>
      <c r="D32" s="27">
        <v>0.0</v>
      </c>
      <c r="E32" s="173">
        <f>IFERROR(__xludf.DUMMYFUNCTION("IF(ISNUMBER(D32), ROUND(D32 * GOOGLEFINANCE(""CURRENCY:USDINR""),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2016</v>
      </c>
      <c r="C33" s="25" t="s">
        <v>76</v>
      </c>
      <c r="D33" s="27">
        <v>26.0</v>
      </c>
      <c r="E33" s="173">
        <f>IFERROR(__xludf.DUMMYFUNCTION("IF(ISNUMBER(D33), ROUND(D33 * GOOGLEFINANCE(""CURRENCY:USDINR""), 2), """")"),2456.75)</f>
        <v>2456.75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2017</v>
      </c>
      <c r="C34" s="25" t="s">
        <v>76</v>
      </c>
      <c r="D34" s="27">
        <v>0.0</v>
      </c>
      <c r="E34" s="173">
        <f>IFERROR(__xludf.DUMMYFUNCTION("IF(ISNUMBER(D34), ROUND(D34 * GOOGLEFINANCE(""CURRENCY:USDINR""),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2018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2019</v>
      </c>
      <c r="C36" s="25" t="s">
        <v>76</v>
      </c>
      <c r="D36" s="27">
        <v>0.0</v>
      </c>
      <c r="E36" s="173">
        <f>IFERROR(__xludf.DUMMYFUNCTION("IF(ISNUMBER(D36), ROUND(D36 * GOOGLEFINANCE(""CURRENCY:USDINR""),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2020</v>
      </c>
      <c r="C37" s="25" t="s">
        <v>76</v>
      </c>
      <c r="D37" s="27">
        <v>0.0</v>
      </c>
      <c r="E37" s="173">
        <f>IFERROR(__xludf.DUMMYFUNCTION("IF(ISNUMBER(D37), ROUND(D37 * GOOGLEFINANCE(""CURRENCY:USDINR""),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2021</v>
      </c>
      <c r="C38" s="25" t="s">
        <v>76</v>
      </c>
      <c r="D38" s="27">
        <v>0.0</v>
      </c>
      <c r="E38" s="173">
        <f>IFERROR(__xludf.DUMMYFUNCTION("IF(ISNUMBER(D38), ROUND(D38 * GOOGLEFINANCE(""CURRENCY:USDINR""),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2022</v>
      </c>
      <c r="C39" s="25" t="s">
        <v>76</v>
      </c>
      <c r="D39" s="27">
        <v>0.0</v>
      </c>
      <c r="E39" s="173">
        <f>IFERROR(__xludf.DUMMYFUNCTION("IF(ISNUMBER(D39), ROUND(D39 * GOOGLEFINANCE(""CURRENCY:USDINR""),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2023</v>
      </c>
      <c r="C40" s="25" t="s">
        <v>76</v>
      </c>
      <c r="D40" s="27">
        <v>0.0</v>
      </c>
      <c r="E40" s="173">
        <f>IFERROR(__xludf.DUMMYFUNCTION("IF(ISNUMBER(D40), ROUND(D40 * GOOGLEFINANCE(""CURRENCY:USDINR""), 2), """")"),0.0)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2024</v>
      </c>
      <c r="C41" s="25" t="s">
        <v>76</v>
      </c>
      <c r="D41" s="27">
        <v>1.2</v>
      </c>
      <c r="E41" s="173">
        <f>IFERROR(__xludf.DUMMYFUNCTION("IF(ISNUMBER(D41), ROUND(D41 * GOOGLEFINANCE(""CURRENCY:USDINR""), 2), """")"),113.39)</f>
        <v>113.39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9" t="s">
        <v>2026</v>
      </c>
      <c r="C42" s="25" t="s">
        <v>76</v>
      </c>
      <c r="D42" s="27">
        <v>0.0</v>
      </c>
      <c r="E42" s="173">
        <f>IFERROR(__xludf.DUMMYFUNCTION("IF(ISNUMBER(D42), ROUND(D42 * GOOGLEFINANCE(""CURRENCY:USDINR""), 2), """")"),0.0)</f>
        <v>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2013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2015</v>
      </c>
    </row>
    <row r="4" ht="14.25" customHeight="1">
      <c r="A4" s="9" t="s">
        <v>19</v>
      </c>
      <c r="B4" s="8" t="s">
        <v>2002</v>
      </c>
    </row>
    <row r="5" ht="14.25" customHeight="1">
      <c r="A5" s="7" t="s">
        <v>24</v>
      </c>
      <c r="B5" s="8" t="s">
        <v>2003</v>
      </c>
    </row>
    <row r="6" ht="14.25" customHeight="1">
      <c r="A6" s="9" t="s">
        <v>2004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27">
        <f>IFERROR(__xludf.DUMMYFUNCTION("IF(ISNUMBER(F10), ROUND(F10 * GOOGLEFINANCE(""CURRENCY:USDINR""), 2), """")"),6803.32)</f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27">
        <f>IFERROR(__xludf.DUMMYFUNCTION("IF(ISNUMBER(F11), ROUND(F11 * GOOGLEFINANCE(""CURRENCY:USDINR""), 2), """")"),5102.49)</f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27">
        <f>IFERROR(__xludf.DUMMYFUNCTION("IF(ISNUMBER(F12), ROUND(F12 * GOOGLEFINANCE(""CURRENCY:USDINR""), 2), """")"),10204.97)</f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27">
        <f>IFERROR(__xludf.DUMMYFUNCTION("IF(ISNUMBER(F13), ROUND(F13 * GOOGLEFINANCE(""CURRENCY:USDINR""), 2), """")"),7370.26)</f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27">
        <f>IFERROR(__xludf.DUMMYFUNCTION("IF(ISNUMBER(F15), ROUND(F15 * GOOGLEFINANCE(""CURRENCY:USDINR""), 2), """")"),12472.75)</f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27">
        <f>IFERROR(__xludf.DUMMYFUNCTION("IF(ISNUMBER(F16), ROUND(F16 * GOOGLEFINANCE(""CURRENCY:USDINR""), 2), """")"),17008.29)</f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27">
        <f>IFERROR(__xludf.DUMMYFUNCTION("IF(ISNUMBER(F17), ROUND(F17 * GOOGLEFINANCE(""CURRENCY:USDINR""), 2), """")"),12472.75)</f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27">
        <f>IFERROR(__xludf.DUMMYFUNCTION("IF(ISNUMBER(F18), ROUND(F18 * GOOGLEFINANCE(""CURRENCY:USDINR""), 2), """")"),3401.66)</f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27">
        <f>IFERROR(__xludf.DUMMYFUNCTION("IF(ISNUMBER(F19), ROUND(F19 * GOOGLEFINANCE(""CURRENCY:USDINR""), 2), """")"),3401.66)</f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27">
        <f>IFERROR(__xludf.DUMMYFUNCTION("IF(ISNUMBER(F21), ROUND(F21 * GOOGLEFINANCE(""CURRENCY:USDINR""), 2), """")"),10204.97)</f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27">
        <f>IFERROR(__xludf.DUMMYFUNCTION("IF(ISNUMBER(F22), ROUND(F22 * GOOGLEFINANCE(""CURRENCY:USDINR""), 2), """")"),1417.36)</f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27">
        <f>IFERROR(__xludf.DUMMYFUNCTION("IF(ISNUMBER(F24), ROUND(F24 * GOOGLEFINANCE(""CURRENCY:USDINR""), 2), """")"),2267.77)</f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27">
        <f>IFERROR(__xludf.DUMMYFUNCTION("IF(ISNUMBER(F25), ROUND(F25 * GOOGLEFINANCE(""CURRENCY:USDINR""), 2), """")"),566.94)</f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27">
        <f>IFERROR(__xludf.DUMMYFUNCTION("IF(ISNUMBER(F26), ROUND(F26 * GOOGLEFINANCE(""CURRENCY:USDINR""), 2), """")"),283.47)</f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2029</v>
      </c>
      <c r="C29" s="21" t="s">
        <v>76</v>
      </c>
      <c r="D29" s="23">
        <v>34.0</v>
      </c>
      <c r="E29" s="172">
        <f>IFERROR(__xludf.DUMMYFUNCTION("IF(ISNUMBER(D29), ROUND(D29 * GOOGLEFINANCE(""CURRENCY:USDINR""), 2), """")"),3212.68)</f>
        <v>3212.68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2031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2032</v>
      </c>
      <c r="C31" s="25" t="s">
        <v>76</v>
      </c>
      <c r="D31" s="27">
        <v>1.2</v>
      </c>
      <c r="E31" s="173">
        <f>IFERROR(__xludf.DUMMYFUNCTION("IF(ISNUMBER(D31), ROUND(D31 * GOOGLEFINANCE(""CURRENCY:USDINR""), 2), """")"),113.39)</f>
        <v>113.39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2033</v>
      </c>
      <c r="C32" s="25" t="s">
        <v>76</v>
      </c>
      <c r="D32" s="27">
        <v>0.0</v>
      </c>
      <c r="E32" s="173">
        <f>IFERROR(__xludf.DUMMYFUNCTION("IF(ISNUMBER(D32), ROUND(D32 * GOOGLEFINANCE(""CURRENCY:USDINR""),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2034</v>
      </c>
      <c r="C33" s="25" t="s">
        <v>76</v>
      </c>
      <c r="D33" s="27">
        <v>0.0</v>
      </c>
      <c r="E33" s="173">
        <f>IFERROR(__xludf.DUMMYFUNCTION("IF(ISNUMBER(D33), ROUND(D33 * GOOGLEFINANCE(""CURRENCY:USDINR""),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2035</v>
      </c>
      <c r="C34" s="25" t="s">
        <v>76</v>
      </c>
      <c r="D34" s="27">
        <v>25.0</v>
      </c>
      <c r="E34" s="173">
        <f>IFERROR(__xludf.DUMMYFUNCTION("IF(ISNUMBER(D34), ROUND(D34 * GOOGLEFINANCE(""CURRENCY:USDINR""), 2), """")"),2362.26)</f>
        <v>2362.26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2037</v>
      </c>
      <c r="C35" s="25" t="s">
        <v>76</v>
      </c>
      <c r="D35" s="27">
        <v>1.2</v>
      </c>
      <c r="E35" s="173">
        <f>IFERROR(__xludf.DUMMYFUNCTION("IF(ISNUMBER(D35), ROUND(D35 * GOOGLEFINANCE(""CURRENCY:USDINR""), 2), """")"),113.39)</f>
        <v>113.39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2039</v>
      </c>
      <c r="C36" s="25" t="s">
        <v>76</v>
      </c>
      <c r="D36" s="27">
        <v>4.0</v>
      </c>
      <c r="E36" s="173">
        <f>IFERROR(__xludf.DUMMYFUNCTION("IF(ISNUMBER(D36), ROUND(D36 * GOOGLEFINANCE(""CURRENCY:USDINR""), 2), """")"),377.96)</f>
        <v>377.96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2042</v>
      </c>
      <c r="C37" s="25" t="s">
        <v>76</v>
      </c>
      <c r="D37" s="27">
        <v>10.0</v>
      </c>
      <c r="E37" s="173">
        <f>IFERROR(__xludf.DUMMYFUNCTION("IF(ISNUMBER(D37), ROUND(D37 * GOOGLEFINANCE(""CURRENCY:USDINR""), 2), """")"),944.91)</f>
        <v>944.91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2045</v>
      </c>
      <c r="C38" s="25" t="s">
        <v>76</v>
      </c>
      <c r="D38" s="27">
        <v>0.0</v>
      </c>
      <c r="E38" s="173">
        <f>IFERROR(__xludf.DUMMYFUNCTION("IF(ISNUMBER(D38), ROUND(D38 * GOOGLEFINANCE(""CURRENCY:USDINR""),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2047</v>
      </c>
      <c r="C39" s="25" t="s">
        <v>76</v>
      </c>
      <c r="D39" s="27">
        <v>1.2</v>
      </c>
      <c r="E39" s="173">
        <f>IFERROR(__xludf.DUMMYFUNCTION("IF(ISNUMBER(D39), ROUND(D39 * GOOGLEFINANCE(""CURRENCY:USDINR""), 2), """")"),113.39)</f>
        <v>113.39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2051</v>
      </c>
      <c r="C40" s="25" t="s">
        <v>76</v>
      </c>
      <c r="D40" s="27">
        <v>8.0</v>
      </c>
      <c r="E40" s="173">
        <f>IFERROR(__xludf.DUMMYFUNCTION("IF(ISNUMBER(D40), ROUND(D40 * GOOGLEFINANCE(""CURRENCY:USDINR""), 2), """")"),755.92)</f>
        <v>755.92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2055</v>
      </c>
      <c r="C41" s="25" t="s">
        <v>76</v>
      </c>
      <c r="D41" s="27">
        <v>1.6</v>
      </c>
      <c r="E41" s="173">
        <f>IFERROR(__xludf.DUMMYFUNCTION("IF(ISNUMBER(D41), ROUND(D41 * GOOGLEFINANCE(""CURRENCY:USDINR""), 2), """")"),151.18)</f>
        <v>151.18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9" t="s">
        <v>2057</v>
      </c>
      <c r="C42" s="25" t="s">
        <v>76</v>
      </c>
      <c r="D42" s="27">
        <v>0.0</v>
      </c>
      <c r="E42" s="173">
        <f>IFERROR(__xludf.DUMMYFUNCTION("IF(ISNUMBER(D42), ROUND(D42 * GOOGLEFINANCE(""CURRENCY:USDINR""), 2), """")"),0.0)</f>
        <v>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2025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2027</v>
      </c>
    </row>
    <row r="4" ht="14.25" customHeight="1">
      <c r="A4" s="9" t="s">
        <v>19</v>
      </c>
      <c r="B4" s="8" t="s">
        <v>2002</v>
      </c>
    </row>
    <row r="5" ht="14.25" customHeight="1">
      <c r="A5" s="7" t="s">
        <v>24</v>
      </c>
      <c r="B5" s="8" t="s">
        <v>2003</v>
      </c>
    </row>
    <row r="6" ht="14.25" customHeight="1">
      <c r="A6" s="9" t="s">
        <v>2004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32" t="s">
        <v>111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27">
        <f>IFERROR(__xludf.DUMMYFUNCTION("IF(ISNUMBER(F10), ROUND(F10 * GOOGLEFINANCE(""CURRENCY:USDINR""), 2), """")"),10630.18)</f>
        <v>10630.18</v>
      </c>
      <c r="H10" s="4"/>
      <c r="I10" s="4" t="s">
        <v>50</v>
      </c>
    </row>
    <row r="11" ht="14.25" customHeight="1">
      <c r="A11" s="32" t="s">
        <v>111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27">
        <f>IFERROR(__xludf.DUMMYFUNCTION("IF(ISNUMBER(F11), ROUND(F11 * GOOGLEFINANCE(""CURRENCY:USDINR""), 2), """")"),7677.35)</f>
        <v>7677.35</v>
      </c>
      <c r="H11" s="4"/>
      <c r="I11" s="4" t="s">
        <v>50</v>
      </c>
    </row>
    <row r="12" ht="14.25" customHeight="1">
      <c r="A12" s="32" t="s">
        <v>111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27">
        <f>IFERROR(__xludf.DUMMYFUNCTION("IF(ISNUMBER(F12), ROUND(F12 * GOOGLEFINANCE(""CURRENCY:USDINR""), 2), """")"),15945.27)</f>
        <v>15945.27</v>
      </c>
      <c r="H12" s="4"/>
      <c r="I12" s="4" t="s">
        <v>50</v>
      </c>
    </row>
    <row r="13" ht="14.25" customHeight="1">
      <c r="A13" s="32" t="s">
        <v>111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27">
        <f>IFERROR(__xludf.DUMMYFUNCTION("IF(ISNUMBER(F13), ROUND(F13 * GOOGLEFINANCE(""CURRENCY:USDINR""), 2), """")"),11220.75)</f>
        <v>11220.75</v>
      </c>
      <c r="H13" s="4"/>
      <c r="I13" s="4" t="s">
        <v>50</v>
      </c>
    </row>
    <row r="14" ht="14.25" customHeight="1">
      <c r="A14" s="32" t="s">
        <v>111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27">
        <f>IFERROR(__xludf.DUMMYFUNCTION("IF(ISNUMBER(F14), ROUND(F14 * GOOGLEFINANCE(""CURRENCY:USDINR""), 2), """")"),25984.89)</f>
        <v>25984.89</v>
      </c>
      <c r="H14" s="4"/>
      <c r="I14" s="4" t="s">
        <v>50</v>
      </c>
    </row>
    <row r="15" ht="14.25" customHeight="1">
      <c r="A15" s="32" t="s">
        <v>111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27">
        <f>IFERROR(__xludf.DUMMYFUNCTION("IF(ISNUMBER(F15), ROUND(F15 * GOOGLEFINANCE(""CURRENCY:USDINR""), 2), """")"),18898.1)</f>
        <v>18898.1</v>
      </c>
      <c r="H15" s="4"/>
      <c r="I15" s="4" t="s">
        <v>50</v>
      </c>
    </row>
    <row r="16" ht="14.25" customHeight="1">
      <c r="A16" s="32" t="s">
        <v>111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27">
        <f>IFERROR(__xludf.DUMMYFUNCTION("IF(ISNUMBER(F16), ROUND(F16 * GOOGLEFINANCE(""CURRENCY:USDINR""), 2), """")"),40158.46)</f>
        <v>40158.46</v>
      </c>
      <c r="H16" s="4"/>
      <c r="I16" s="4" t="s">
        <v>50</v>
      </c>
    </row>
    <row r="17" ht="14.25" customHeight="1">
      <c r="A17" s="32" t="s">
        <v>111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27">
        <f>IFERROR(__xludf.DUMMYFUNCTION("IF(ISNUMBER(F17), ROUND(F17 * GOOGLEFINANCE(""CURRENCY:USDINR""), 2), """")"),29528.28)</f>
        <v>29528.28</v>
      </c>
      <c r="H17" s="4"/>
      <c r="I17" s="4" t="s">
        <v>50</v>
      </c>
    </row>
    <row r="18" ht="14.25" customHeight="1">
      <c r="A18" s="4" t="s">
        <v>55</v>
      </c>
      <c r="B18" s="32" t="s">
        <v>117</v>
      </c>
      <c r="C18" s="4" t="s">
        <v>57</v>
      </c>
      <c r="D18" s="4" t="s">
        <v>58</v>
      </c>
      <c r="E18" s="4" t="s">
        <v>59</v>
      </c>
      <c r="F18" s="14">
        <v>36.0</v>
      </c>
      <c r="G18" s="127">
        <f>IFERROR(__xludf.DUMMYFUNCTION("IF(ISNUMBER(F18), ROUND(F18 * GOOGLEFINANCE(""CURRENCY:USDINR""), 2), """")"),3401.66)</f>
        <v>3401.66</v>
      </c>
      <c r="H18" s="4"/>
      <c r="I18" s="4" t="s">
        <v>60</v>
      </c>
    </row>
    <row r="19" ht="14.25" customHeight="1">
      <c r="A19" s="4" t="s">
        <v>55</v>
      </c>
      <c r="B19" s="32" t="s">
        <v>118</v>
      </c>
      <c r="C19" s="4" t="s">
        <v>57</v>
      </c>
      <c r="D19" s="4" t="s">
        <v>58</v>
      </c>
      <c r="E19" s="4" t="s">
        <v>59</v>
      </c>
      <c r="F19" s="14">
        <v>36.0</v>
      </c>
      <c r="G19" s="127">
        <f>IFERROR(__xludf.DUMMYFUNCTION("IF(ISNUMBER(F19), ROUND(F19 * GOOGLEFINANCE(""CURRENCY:USDINR""), 2), """")"),3401.66)</f>
        <v>3401.66</v>
      </c>
      <c r="H19" s="4"/>
      <c r="I19" s="4" t="s">
        <v>60</v>
      </c>
    </row>
    <row r="20" ht="14.25" customHeight="1">
      <c r="A20" s="4" t="s">
        <v>55</v>
      </c>
      <c r="B20" s="32" t="s">
        <v>119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32" t="s">
        <v>120</v>
      </c>
      <c r="D21" s="32" t="s">
        <v>120</v>
      </c>
      <c r="E21" s="32" t="s">
        <v>120</v>
      </c>
      <c r="F21" s="14">
        <v>108.0</v>
      </c>
      <c r="G21" s="127">
        <f>IFERROR(__xludf.DUMMYFUNCTION("IF(ISNUMBER(F21), ROUND(F21 * GOOGLEFINANCE(""CURRENCY:USDINR""), 2), """")"),10204.97)</f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32" t="s">
        <v>120</v>
      </c>
      <c r="D22" s="32" t="s">
        <v>120</v>
      </c>
      <c r="E22" s="32" t="s">
        <v>120</v>
      </c>
      <c r="F22" s="14">
        <v>15.0</v>
      </c>
      <c r="G22" s="127">
        <f>IFERROR(__xludf.DUMMYFUNCTION("IF(ISNUMBER(F22), ROUND(F22 * GOOGLEFINANCE(""CURRENCY:USDINR""), 2), """")"),1417.36)</f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27">
        <f>IFERROR(__xludf.DUMMYFUNCTION("IF(ISNUMBER(F24), ROUND(F24 * GOOGLEFINANCE(""CURRENCY:USDINR""), 2), """")"),2267.77)</f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27">
        <f>IFERROR(__xludf.DUMMYFUNCTION("IF(ISNUMBER(F25), ROUND(F25 * GOOGLEFINANCE(""CURRENCY:USDINR""), 2), """")"),566.94)</f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27">
        <f>IFERROR(__xludf.DUMMYFUNCTION("IF(ISNUMBER(F26), ROUND(F26 * GOOGLEFINANCE(""CURRENCY:USDINR""), 2), """")"),283.47)</f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2036</v>
      </c>
      <c r="C29" s="21" t="s">
        <v>76</v>
      </c>
      <c r="D29" s="23">
        <v>36.0</v>
      </c>
      <c r="E29" s="172">
        <f>IFERROR(__xludf.DUMMYFUNCTION("IF(ISNUMBER(D29), ROUND(D29 * GOOGLEFINANCE(""CURRENCY:USDINR""), 2), """")"),3401.66)</f>
        <v>3401.66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2038</v>
      </c>
      <c r="C30" s="25" t="s">
        <v>76</v>
      </c>
      <c r="D30" s="27">
        <v>2.5</v>
      </c>
      <c r="E30" s="173">
        <f>IFERROR(__xludf.DUMMYFUNCTION("IF(ISNUMBER(D30), ROUND(D30 * GOOGLEFINANCE(""CURRENCY:USDINR""), 2), """")"),236.23)</f>
        <v>236.23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2040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2041</v>
      </c>
      <c r="C32" s="25" t="s">
        <v>76</v>
      </c>
      <c r="D32" s="27">
        <v>0.0</v>
      </c>
      <c r="E32" s="173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2043</v>
      </c>
      <c r="C33" s="25" t="s">
        <v>76</v>
      </c>
      <c r="D33" s="27">
        <v>0.0</v>
      </c>
      <c r="E33" s="173">
        <f>IFERROR(__xludf.DUMMYFUNCTION("IF(ISNUMBER(D33), ROUND(D33 * GOOGLEFINANCE(""CURRENCY:USDINR""), 2), """")"),0.0)</f>
        <v>0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2044</v>
      </c>
      <c r="C34" s="25" t="s">
        <v>76</v>
      </c>
      <c r="D34" s="27">
        <v>2.4</v>
      </c>
      <c r="E34" s="173">
        <f>IFERROR(__xludf.DUMMYFUNCTION("IF(ISNUMBER(D34), ROUND(D34 * GOOGLEFINANCE(""CURRENCY:USDINR""), 2), """")"),226.78)</f>
        <v>226.78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2046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</row>
    <row r="36" ht="14.25" customHeight="1">
      <c r="A36" s="25" t="s">
        <v>74</v>
      </c>
      <c r="B36" s="26" t="s">
        <v>2048</v>
      </c>
      <c r="C36" s="25" t="s">
        <v>76</v>
      </c>
      <c r="D36" s="27">
        <v>0.0</v>
      </c>
      <c r="E36" s="173">
        <f>IFERROR(__xludf.DUMMYFUNCTION("IF(ISNUMBER(D36), ROUND(D36 * GOOGLEFINANCE(""CURRENCY:USDINR""), 2), """")"),0.0)</f>
        <v>0</v>
      </c>
    </row>
    <row r="37" ht="14.25" customHeight="1">
      <c r="A37" s="25" t="s">
        <v>74</v>
      </c>
      <c r="B37" s="26" t="s">
        <v>2049</v>
      </c>
      <c r="C37" s="25" t="s">
        <v>76</v>
      </c>
      <c r="D37" s="27">
        <v>4.8</v>
      </c>
      <c r="E37" s="173">
        <f>IFERROR(__xludf.DUMMYFUNCTION("IF(ISNUMBER(D37), ROUND(D37 * GOOGLEFINANCE(""CURRENCY:USDINR""), 2), """")"),453.55)</f>
        <v>453.55</v>
      </c>
    </row>
    <row r="38" ht="14.25" customHeight="1">
      <c r="A38" s="25" t="s">
        <v>74</v>
      </c>
      <c r="B38" s="26" t="s">
        <v>2050</v>
      </c>
      <c r="C38" s="25" t="s">
        <v>76</v>
      </c>
      <c r="D38" s="27">
        <v>36.0</v>
      </c>
      <c r="E38" s="173">
        <f>IFERROR(__xludf.DUMMYFUNCTION("IF(ISNUMBER(D38), ROUND(D38 * GOOGLEFINANCE(""CURRENCY:USDINR""), 2), """")"),3401.66)</f>
        <v>3401.66</v>
      </c>
    </row>
    <row r="39" ht="14.25" customHeight="1">
      <c r="A39" s="25" t="s">
        <v>74</v>
      </c>
      <c r="B39" s="26" t="s">
        <v>2052</v>
      </c>
      <c r="C39" s="25" t="s">
        <v>76</v>
      </c>
      <c r="D39" s="27">
        <v>0.0</v>
      </c>
      <c r="E39" s="173">
        <f>IFERROR(__xludf.DUMMYFUNCTION("IF(ISNUMBER(D39), ROUND(D39 * GOOGLEFINANCE(""CURRENCY:USDINR""), 2), """")"),0.0)</f>
        <v>0</v>
      </c>
    </row>
    <row r="40" ht="14.25" customHeight="1">
      <c r="A40" s="25" t="s">
        <v>74</v>
      </c>
      <c r="B40" s="26" t="s">
        <v>2054</v>
      </c>
      <c r="C40" s="25" t="s">
        <v>76</v>
      </c>
      <c r="D40" s="27">
        <v>0.0</v>
      </c>
      <c r="E40" s="173">
        <f>IFERROR(__xludf.DUMMYFUNCTION("IF(ISNUMBER(D40), ROUND(D40 * GOOGLEFINANCE(""CURRENCY:USDINR""), 2), """")"),0.0)</f>
        <v>0</v>
      </c>
    </row>
    <row r="41" ht="14.25" customHeight="1">
      <c r="A41" s="25" t="s">
        <v>74</v>
      </c>
      <c r="B41" s="26" t="s">
        <v>2056</v>
      </c>
      <c r="C41" s="25" t="s">
        <v>76</v>
      </c>
      <c r="D41" s="27">
        <v>8.0</v>
      </c>
      <c r="E41" s="173">
        <f>IFERROR(__xludf.DUMMYFUNCTION("IF(ISNUMBER(D41), ROUND(D41 * GOOGLEFINANCE(""CURRENCY:USDINR""), 2), """")"),755.92)</f>
        <v>755.92</v>
      </c>
    </row>
    <row r="42" ht="14.25" customHeight="1">
      <c r="A42" s="25" t="s">
        <v>74</v>
      </c>
      <c r="B42" s="29" t="s">
        <v>2058</v>
      </c>
      <c r="C42" s="25" t="s">
        <v>76</v>
      </c>
      <c r="D42" s="27">
        <v>0.0</v>
      </c>
      <c r="E42" s="173">
        <f>IFERROR(__xludf.DUMMYFUNCTION("IF(ISNUMBER(D42), ROUND(D42 * GOOGLEFINANCE(""CURRENCY:USDINR""), 2), """")"),0.0)</f>
        <v>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2028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2030</v>
      </c>
    </row>
    <row r="4" ht="14.25" customHeight="1">
      <c r="A4" s="9" t="s">
        <v>19</v>
      </c>
      <c r="B4" s="8" t="s">
        <v>2002</v>
      </c>
    </row>
    <row r="5" ht="14.25" customHeight="1">
      <c r="A5" s="7" t="s">
        <v>24</v>
      </c>
      <c r="B5" s="8" t="s">
        <v>2003</v>
      </c>
    </row>
    <row r="6" ht="14.25" customHeight="1">
      <c r="A6" s="9" t="s">
        <v>2004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27">
        <f>IFERROR(__xludf.DUMMYFUNCTION("IF(ISNUMBER(F10), ROUND(F10 * GOOGLEFINANCE(""CURRENCY:USDINR""), 2), """")"),6803.32)</f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27">
        <f>IFERROR(__xludf.DUMMYFUNCTION("IF(ISNUMBER(F11), ROUND(F11 * GOOGLEFINANCE(""CURRENCY:USDINR""), 2), """")"),5102.49)</f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27">
        <f>IFERROR(__xludf.DUMMYFUNCTION("IF(ISNUMBER(F12), ROUND(F12 * GOOGLEFINANCE(""CURRENCY:USDINR""), 2), """")"),10204.97)</f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27">
        <f>IFERROR(__xludf.DUMMYFUNCTION("IF(ISNUMBER(F13), ROUND(F13 * GOOGLEFINANCE(""CURRENCY:USDINR""), 2), """")"),7370.26)</f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27">
        <f>IFERROR(__xludf.DUMMYFUNCTION("IF(ISNUMBER(F15), ROUND(F15 * GOOGLEFINANCE(""CURRENCY:USDINR""), 2), """")"),12472.75)</f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27">
        <f>IFERROR(__xludf.DUMMYFUNCTION("IF(ISNUMBER(F16), ROUND(F16 * GOOGLEFINANCE(""CURRENCY:USDINR""), 2), """")"),17008.29)</f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27">
        <f>IFERROR(__xludf.DUMMYFUNCTION("IF(ISNUMBER(F17), ROUND(F17 * GOOGLEFINANCE(""CURRENCY:USDINR""), 2), """")"),12472.75)</f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27">
        <f>IFERROR(__xludf.DUMMYFUNCTION("IF(ISNUMBER(F18), ROUND(F18 * GOOGLEFINANCE(""CURRENCY:USDINR""), 2), """")"),3401.66)</f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27">
        <f>IFERROR(__xludf.DUMMYFUNCTION("IF(ISNUMBER(F19), ROUND(F19 * GOOGLEFINANCE(""CURRENCY:USDINR""), 2), """")"),3401.66)</f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27">
        <f>IFERROR(__xludf.DUMMYFUNCTION("IF(ISNUMBER(F21), ROUND(F21 * GOOGLEFINANCE(""CURRENCY:USDINR""), 2), """")"),10204.97)</f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27">
        <f>IFERROR(__xludf.DUMMYFUNCTION("IF(ISNUMBER(F22), ROUND(F22 * GOOGLEFINANCE(""CURRENCY:USDINR""), 2), """")"),1417.36)</f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27">
        <f>IFERROR(__xludf.DUMMYFUNCTION("IF(ISNUMBER(F24), ROUND(F24 * GOOGLEFINANCE(""CURRENCY:USDINR""), 2), """")"),2267.77)</f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27">
        <f>IFERROR(__xludf.DUMMYFUNCTION("IF(ISNUMBER(F25), ROUND(F25 * GOOGLEFINANCE(""CURRENCY:USDINR""), 2), """")"),566.94)</f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27">
        <f>IFERROR(__xludf.DUMMYFUNCTION("IF(ISNUMBER(F26), ROUND(F26 * GOOGLEFINANCE(""CURRENCY:USDINR""), 2), """")"),283.47)</f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2053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2059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2060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2061</v>
      </c>
      <c r="C32" s="25" t="s">
        <v>76</v>
      </c>
      <c r="D32" s="27">
        <v>2.6</v>
      </c>
      <c r="E32" s="173">
        <f>IFERROR(__xludf.DUMMYFUNCTION("IF(ISNUMBER(D32), ROUND(D32 * GOOGLEFINANCE(""CURRENCY:USDINR""), 2), """")"),245.68)</f>
        <v>245.68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2062</v>
      </c>
      <c r="C33" s="25" t="s">
        <v>76</v>
      </c>
      <c r="D33" s="27">
        <v>1.6</v>
      </c>
      <c r="E33" s="173">
        <f>IFERROR(__xludf.DUMMYFUNCTION("IF(ISNUMBER(D33), ROUND(D33 * GOOGLEFINANCE(""CURRENCY:USDINR""), 2), """")"),151.18)</f>
        <v>151.18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2063</v>
      </c>
      <c r="C34" s="25" t="s">
        <v>76</v>
      </c>
      <c r="D34" s="27">
        <v>0.0</v>
      </c>
      <c r="E34" s="173">
        <f>IFERROR(__xludf.DUMMYFUNCTION("IF(ISNUMBER(D34), ROUND(D34 * GOOGLEFINANCE(""CURRENCY:USDINR""),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2064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2065</v>
      </c>
      <c r="C36" s="25" t="s">
        <v>76</v>
      </c>
      <c r="D36" s="27">
        <v>10.0</v>
      </c>
      <c r="E36" s="173">
        <f>IFERROR(__xludf.DUMMYFUNCTION("IF(ISNUMBER(D36), ROUND(D36 * GOOGLEFINANCE(""CURRENCY:USDINR""), 2), """")"),944.91)</f>
        <v>944.91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2066</v>
      </c>
      <c r="C37" s="25" t="s">
        <v>76</v>
      </c>
      <c r="D37" s="27">
        <v>9.5</v>
      </c>
      <c r="E37" s="173">
        <f>IFERROR(__xludf.DUMMYFUNCTION("IF(ISNUMBER(D37), ROUND(D37 * GOOGLEFINANCE(""CURRENCY:USDINR""), 2), """")"),897.66)</f>
        <v>897.66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2067</v>
      </c>
      <c r="C38" s="25" t="s">
        <v>76</v>
      </c>
      <c r="D38" s="27">
        <v>16.0</v>
      </c>
      <c r="E38" s="173">
        <f>IFERROR(__xludf.DUMMYFUNCTION("IF(ISNUMBER(D38), ROUND(D38 * GOOGLEFINANCE(""CURRENCY:USDINR""), 2), """")"),1511.85)</f>
        <v>1511.85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2068</v>
      </c>
      <c r="C39" s="25" t="s">
        <v>76</v>
      </c>
      <c r="D39" s="27">
        <v>0.0</v>
      </c>
      <c r="E39" s="173">
        <f>IFERROR(__xludf.DUMMYFUNCTION("IF(ISNUMBER(D39), ROUND(D39 * GOOGLEFINANCE(""CURRENCY:USDINR""),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2069</v>
      </c>
      <c r="C40" s="25" t="s">
        <v>76</v>
      </c>
      <c r="D40" s="27">
        <v>0.0</v>
      </c>
      <c r="E40" s="173">
        <f>IFERROR(__xludf.DUMMYFUNCTION("IF(ISNUMBER(D40), ROUND(D40 * GOOGLEFINANCE(""CURRENCY:USDINR""), 2), """")"),0.0)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9" t="s">
        <v>2070</v>
      </c>
      <c r="C41" s="25" t="s">
        <v>76</v>
      </c>
      <c r="D41" s="27">
        <v>5.0</v>
      </c>
      <c r="E41" s="173">
        <f>IFERROR(__xludf.DUMMYFUNCTION("IF(ISNUMBER(D41), ROUND(D41 * GOOGLEFINANCE(""CURRENCY:USDINR""), 2), """")"),472.45)</f>
        <v>472.45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2071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2073</v>
      </c>
    </row>
    <row r="4" ht="14.25" customHeight="1">
      <c r="A4" s="9" t="s">
        <v>19</v>
      </c>
      <c r="B4" s="8" t="s">
        <v>2002</v>
      </c>
    </row>
    <row r="5" ht="14.25" customHeight="1">
      <c r="A5" s="7" t="s">
        <v>24</v>
      </c>
      <c r="B5" s="8" t="s">
        <v>2003</v>
      </c>
    </row>
    <row r="6" ht="14.25" customHeight="1">
      <c r="A6" s="9" t="s">
        <v>2004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27">
        <f>IFERROR(__xludf.DUMMYFUNCTION("IF(ISNUMBER(F10), ROUND(F10 * GOOGLEFINANCE(""CURRENCY:USDINR""), 2), """")"),6803.32)</f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27">
        <f>IFERROR(__xludf.DUMMYFUNCTION("IF(ISNUMBER(F11), ROUND(F11 * GOOGLEFINANCE(""CURRENCY:USDINR""), 2), """")"),5102.49)</f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27">
        <f>IFERROR(__xludf.DUMMYFUNCTION("IF(ISNUMBER(F12), ROUND(F12 * GOOGLEFINANCE(""CURRENCY:USDINR""), 2), """")"),10204.97)</f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27">
        <f>IFERROR(__xludf.DUMMYFUNCTION("IF(ISNUMBER(F13), ROUND(F13 * GOOGLEFINANCE(""CURRENCY:USDINR""), 2), """")"),7370.26)</f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27">
        <f>IFERROR(__xludf.DUMMYFUNCTION("IF(ISNUMBER(F15), ROUND(F15 * GOOGLEFINANCE(""CURRENCY:USDINR""), 2), """")"),12472.75)</f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27">
        <f>IFERROR(__xludf.DUMMYFUNCTION("IF(ISNUMBER(F16), ROUND(F16 * GOOGLEFINANCE(""CURRENCY:USDINR""), 2), """")"),17008.29)</f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27">
        <f>IFERROR(__xludf.DUMMYFUNCTION("IF(ISNUMBER(F17), ROUND(F17 * GOOGLEFINANCE(""CURRENCY:USDINR""), 2), """")"),12472.75)</f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27">
        <f>IFERROR(__xludf.DUMMYFUNCTION("IF(ISNUMBER(F18), ROUND(F18 * GOOGLEFINANCE(""CURRENCY:USDINR""), 2), """")"),3401.66)</f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27">
        <f>IFERROR(__xludf.DUMMYFUNCTION("IF(ISNUMBER(F19), ROUND(F19 * GOOGLEFINANCE(""CURRENCY:USDINR""), 2), """")"),3401.66)</f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27">
        <f>IFERROR(__xludf.DUMMYFUNCTION("IF(ISNUMBER(F21), ROUND(F21 * GOOGLEFINANCE(""CURRENCY:USDINR""), 2), """")"),10204.97)</f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27">
        <f>IFERROR(__xludf.DUMMYFUNCTION("IF(ISNUMBER(F22), ROUND(F22 * GOOGLEFINANCE(""CURRENCY:USDINR""), 2), """")"),1417.36)</f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27">
        <f>IFERROR(__xludf.DUMMYFUNCTION("IF(ISNUMBER(F24), ROUND(F24 * GOOGLEFINANCE(""CURRENCY:USDINR""), 2), """")"),2267.77)</f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27">
        <f>IFERROR(__xludf.DUMMYFUNCTION("IF(ISNUMBER(F25), ROUND(F25 * GOOGLEFINANCE(""CURRENCY:USDINR""), 2), """")"),566.94)</f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27">
        <f>IFERROR(__xludf.DUMMYFUNCTION("IF(ISNUMBER(F26), ROUND(F26 * GOOGLEFINANCE(""CURRENCY:USDINR""), 2), """")"),283.47)</f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2081</v>
      </c>
      <c r="C29" s="21" t="s">
        <v>76</v>
      </c>
      <c r="D29" s="23">
        <v>34.0</v>
      </c>
      <c r="E29" s="172">
        <f>IFERROR(__xludf.DUMMYFUNCTION("IF(ISNUMBER(D29), ROUND(D29 * GOOGLEFINANCE(""CURRENCY:USDINR""), 2), """")"),3212.68)</f>
        <v>3212.68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2084</v>
      </c>
      <c r="C30" s="25" t="s">
        <v>76</v>
      </c>
      <c r="D30" s="27">
        <v>6.0</v>
      </c>
      <c r="E30" s="173">
        <f>IFERROR(__xludf.DUMMYFUNCTION("IF(ISNUMBER(D30), ROUND(D30 * GOOGLEFINANCE(""CURRENCY:USDINR""), 2), """")"),566.94)</f>
        <v>566.94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2087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2089</v>
      </c>
      <c r="C32" s="25" t="s">
        <v>76</v>
      </c>
      <c r="D32" s="27">
        <v>6.0</v>
      </c>
      <c r="E32" s="173">
        <f>IFERROR(__xludf.DUMMYFUNCTION("IF(ISNUMBER(D32), ROUND(D32 * GOOGLEFINANCE(""CURRENCY:USDINR""), 2), """")"),566.94)</f>
        <v>566.94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2092</v>
      </c>
      <c r="C33" s="25" t="s">
        <v>76</v>
      </c>
      <c r="D33" s="27">
        <v>1.6</v>
      </c>
      <c r="E33" s="173">
        <f>IFERROR(__xludf.DUMMYFUNCTION("IF(ISNUMBER(D33), ROUND(D33 * GOOGLEFINANCE(""CURRENCY:USDINR""), 2), """")"),151.18)</f>
        <v>151.18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2094</v>
      </c>
      <c r="C34" s="25" t="s">
        <v>76</v>
      </c>
      <c r="D34" s="27">
        <v>3.0</v>
      </c>
      <c r="E34" s="173">
        <f>IFERROR(__xludf.DUMMYFUNCTION("IF(ISNUMBER(D34), ROUND(D34 * GOOGLEFINANCE(""CURRENCY:USDINR""), 2), """")"),283.47)</f>
        <v>283.47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2096</v>
      </c>
      <c r="C35" s="25" t="s">
        <v>76</v>
      </c>
      <c r="D35" s="27">
        <v>3.0</v>
      </c>
      <c r="E35" s="173">
        <f>IFERROR(__xludf.DUMMYFUNCTION("IF(ISNUMBER(D35), ROUND(D35 * GOOGLEFINANCE(""CURRENCY:USDINR""), 2), """")"),283.47)</f>
        <v>283.47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2099</v>
      </c>
      <c r="C36" s="25" t="s">
        <v>76</v>
      </c>
      <c r="D36" s="27">
        <v>2.8</v>
      </c>
      <c r="E36" s="173">
        <f>IFERROR(__xludf.DUMMYFUNCTION("IF(ISNUMBER(D36), ROUND(D36 * GOOGLEFINANCE(""CURRENCY:USDINR""), 2), """")"),264.57)</f>
        <v>264.57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2101</v>
      </c>
      <c r="C37" s="25" t="s">
        <v>76</v>
      </c>
      <c r="D37" s="27">
        <v>0.8</v>
      </c>
      <c r="E37" s="173">
        <f>IFERROR(__xludf.DUMMYFUNCTION("IF(ISNUMBER(D37), ROUND(D37 * GOOGLEFINANCE(""CURRENCY:USDINR""), 2), """")"),75.59)</f>
        <v>75.59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2104</v>
      </c>
      <c r="C38" s="25" t="s">
        <v>76</v>
      </c>
      <c r="D38" s="27">
        <v>0.0</v>
      </c>
      <c r="E38" s="173">
        <f>IFERROR(__xludf.DUMMYFUNCTION("IF(ISNUMBER(D38), ROUND(D38 * GOOGLEFINANCE(""CURRENCY:USDINR""),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2106</v>
      </c>
      <c r="C39" s="25" t="s">
        <v>76</v>
      </c>
      <c r="D39" s="27">
        <v>15.0</v>
      </c>
      <c r="E39" s="173">
        <f>IFERROR(__xludf.DUMMYFUNCTION("IF(ISNUMBER(D39), ROUND(D39 * GOOGLEFINANCE(""CURRENCY:USDINR""), 2), """")"),1417.36)</f>
        <v>1417.36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2108</v>
      </c>
      <c r="C40" s="25" t="s">
        <v>76</v>
      </c>
      <c r="D40" s="27">
        <v>6.0</v>
      </c>
      <c r="E40" s="173">
        <f>IFERROR(__xludf.DUMMYFUNCTION("IF(ISNUMBER(D40), ROUND(D40 * GOOGLEFINANCE(""CURRENCY:USDINR""), 2), """")"),566.94)</f>
        <v>566.94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2111</v>
      </c>
      <c r="C41" s="25" t="s">
        <v>76</v>
      </c>
      <c r="D41" s="27">
        <v>2.8</v>
      </c>
      <c r="E41" s="173">
        <f>IFERROR(__xludf.DUMMYFUNCTION("IF(ISNUMBER(D41), ROUND(D41 * GOOGLEFINANCE(""CURRENCY:USDINR""), 2), """")"),264.57)</f>
        <v>264.57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9" t="s">
        <v>2113</v>
      </c>
      <c r="C42" s="25" t="s">
        <v>76</v>
      </c>
      <c r="D42" s="27">
        <v>0.0</v>
      </c>
      <c r="E42" s="173">
        <f>IFERROR(__xludf.DUMMYFUNCTION("IF(ISNUMBER(D42), ROUND(D42 * GOOGLEFINANCE(""CURRENCY:USDINR""), 2), """")"),0.0)</f>
        <v>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B43" s="48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2072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10" t="s">
        <v>2074</v>
      </c>
    </row>
    <row r="4" ht="14.25" customHeight="1">
      <c r="A4" s="9" t="s">
        <v>19</v>
      </c>
      <c r="B4" s="8" t="s">
        <v>2002</v>
      </c>
    </row>
    <row r="5" ht="14.25" customHeight="1">
      <c r="A5" s="7" t="s">
        <v>24</v>
      </c>
      <c r="B5" s="8" t="s">
        <v>2003</v>
      </c>
    </row>
    <row r="6" ht="14.25" customHeight="1">
      <c r="A6" s="9" t="s">
        <v>2004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27">
        <f>IFERROR(__xludf.DUMMYFUNCTION("IF(ISNUMBER(F10), ROUND(F10 * GOOGLEFINANCE(""CURRENCY:USDINR""), 2), """")"),6803.32)</f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27">
        <f>IFERROR(__xludf.DUMMYFUNCTION("IF(ISNUMBER(F11), ROUND(F11 * GOOGLEFINANCE(""CURRENCY:USDINR""), 2), """")"),5102.49)</f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27">
        <f>IFERROR(__xludf.DUMMYFUNCTION("IF(ISNUMBER(F12), ROUND(F12 * GOOGLEFINANCE(""CURRENCY:USDINR""), 2), """")"),10204.97)</f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27">
        <f>IFERROR(__xludf.DUMMYFUNCTION("IF(ISNUMBER(F13), ROUND(F13 * GOOGLEFINANCE(""CURRENCY:USDINR""), 2), """")"),7370.26)</f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27">
        <f>IFERROR(__xludf.DUMMYFUNCTION("IF(ISNUMBER(F15), ROUND(F15 * GOOGLEFINANCE(""CURRENCY:USDINR""), 2), """")"),12472.75)</f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27">
        <f>IFERROR(__xludf.DUMMYFUNCTION("IF(ISNUMBER(F16), ROUND(F16 * GOOGLEFINANCE(""CURRENCY:USDINR""), 2), """")"),17008.29)</f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27">
        <f>IFERROR(__xludf.DUMMYFUNCTION("IF(ISNUMBER(F17), ROUND(F17 * GOOGLEFINANCE(""CURRENCY:USDINR""), 2), """")"),12472.75)</f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27">
        <f>IFERROR(__xludf.DUMMYFUNCTION("IF(ISNUMBER(F18), ROUND(F18 * GOOGLEFINANCE(""CURRENCY:USDINR""), 2), """")"),3401.66)</f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27">
        <f>IFERROR(__xludf.DUMMYFUNCTION("IF(ISNUMBER(F19), ROUND(F19 * GOOGLEFINANCE(""CURRENCY:USDINR""), 2), """")"),3401.66)</f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27">
        <f>IFERROR(__xludf.DUMMYFUNCTION("IF(ISNUMBER(F21), ROUND(F21 * GOOGLEFINANCE(""CURRENCY:USDINR""), 2), """")"),10204.97)</f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27">
        <f>IFERROR(__xludf.DUMMYFUNCTION("IF(ISNUMBER(F22), ROUND(F22 * GOOGLEFINANCE(""CURRENCY:USDINR""), 2), """")"),1417.36)</f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27">
        <f>IFERROR(__xludf.DUMMYFUNCTION("IF(ISNUMBER(F24), ROUND(F24 * GOOGLEFINANCE(""CURRENCY:USDINR""), 2), """")"),2267.77)</f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27">
        <f>IFERROR(__xludf.DUMMYFUNCTION("IF(ISNUMBER(F25), ROUND(F25 * GOOGLEFINANCE(""CURRENCY:USDINR""), 2), """")"),566.94)</f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27">
        <f>IFERROR(__xludf.DUMMYFUNCTION("IF(ISNUMBER(F26), ROUND(F26 * GOOGLEFINANCE(""CURRENCY:USDINR""), 2), """")"),283.47)</f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2077</v>
      </c>
      <c r="C29" s="21" t="s">
        <v>76</v>
      </c>
      <c r="D29" s="23">
        <v>0.6</v>
      </c>
      <c r="E29" s="172">
        <f>IFERROR(__xludf.DUMMYFUNCTION("IF(ISNUMBER(D29), ROUND(D29 * GOOGLEFINANCE(""CURRENCY:USDINR""), 2), """")"),56.69)</f>
        <v>56.69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2078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2079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2080</v>
      </c>
      <c r="C32" s="25" t="s">
        <v>76</v>
      </c>
      <c r="D32" s="27">
        <v>0.0</v>
      </c>
      <c r="E32" s="173">
        <f>IFERROR(__xludf.DUMMYFUNCTION("IF(ISNUMBER(D32), ROUND(D32 * GOOGLEFINANCE(""CURRENCY:USDINR""),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2082</v>
      </c>
      <c r="C33" s="25" t="s">
        <v>76</v>
      </c>
      <c r="D33" s="27">
        <v>0.6</v>
      </c>
      <c r="E33" s="173">
        <f>IFERROR(__xludf.DUMMYFUNCTION("IF(ISNUMBER(D33), ROUND(D33 * GOOGLEFINANCE(""CURRENCY:USDINR""), 2), """")"),56.69)</f>
        <v>56.69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2083</v>
      </c>
      <c r="C34" s="25" t="s">
        <v>76</v>
      </c>
      <c r="D34" s="27">
        <v>24.0</v>
      </c>
      <c r="E34" s="173">
        <f>IFERROR(__xludf.DUMMYFUNCTION("IF(ISNUMBER(D34), ROUND(D34 * GOOGLEFINANCE(""CURRENCY:USDINR""), 2), """")"),2267.77)</f>
        <v>2267.77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2085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2086</v>
      </c>
      <c r="C36" s="25" t="s">
        <v>76</v>
      </c>
      <c r="D36" s="27">
        <v>0.0</v>
      </c>
      <c r="E36" s="173">
        <f>IFERROR(__xludf.DUMMYFUNCTION("IF(ISNUMBER(D36), ROUND(D36 * GOOGLEFINANCE(""CURRENCY:USDINR""),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2088</v>
      </c>
      <c r="C37" s="25" t="s">
        <v>76</v>
      </c>
      <c r="D37" s="27">
        <v>28.0</v>
      </c>
      <c r="E37" s="173">
        <f>IFERROR(__xludf.DUMMYFUNCTION("IF(ISNUMBER(D37), ROUND(D37 * GOOGLEFINANCE(""CURRENCY:USDINR""), 2), """")"),2645.73)</f>
        <v>2645.73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2090</v>
      </c>
      <c r="C38" s="25" t="s">
        <v>76</v>
      </c>
      <c r="D38" s="27">
        <v>0.0</v>
      </c>
      <c r="E38" s="173">
        <f>IFERROR(__xludf.DUMMYFUNCTION("IF(ISNUMBER(D38), ROUND(D38 * GOOGLEFINANCE(""CURRENCY:USDINR""),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2093</v>
      </c>
      <c r="C39" s="25" t="s">
        <v>76</v>
      </c>
      <c r="D39" s="27">
        <v>0.6</v>
      </c>
      <c r="E39" s="173">
        <f>IFERROR(__xludf.DUMMYFUNCTION("IF(ISNUMBER(D39), ROUND(D39 * GOOGLEFINANCE(""CURRENCY:USDINR""), 2), """")"),56.69)</f>
        <v>56.69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2095</v>
      </c>
      <c r="C40" s="25" t="s">
        <v>76</v>
      </c>
      <c r="D40" s="27">
        <v>0.0</v>
      </c>
      <c r="E40" s="173">
        <f>IFERROR(__xludf.DUMMYFUNCTION("IF(ISNUMBER(D40), ROUND(D40 * GOOGLEFINANCE(""CURRENCY:USDINR""), 2), """")"),0.0)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2097</v>
      </c>
      <c r="C41" s="25" t="s">
        <v>76</v>
      </c>
      <c r="D41" s="27">
        <v>0.0</v>
      </c>
      <c r="E41" s="173">
        <f>IFERROR(__xludf.DUMMYFUNCTION("IF(ISNUMBER(D41), ROUND(D41 * GOOGLEFINANCE(""CURRENCY:USDINR""), 2), """")"),0.0)</f>
        <v>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9" t="s">
        <v>2100</v>
      </c>
      <c r="C42" s="25" t="s">
        <v>76</v>
      </c>
      <c r="D42" s="27">
        <v>0.0</v>
      </c>
      <c r="E42" s="173">
        <f>IFERROR(__xludf.DUMMYFUNCTION("IF(ISNUMBER(D42), ROUND(D42 * GOOGLEFINANCE(""CURRENCY:USDINR""), 2), """")"),0.0)</f>
        <v>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2075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2076</v>
      </c>
    </row>
    <row r="4" ht="14.25" customHeight="1">
      <c r="A4" s="9" t="s">
        <v>19</v>
      </c>
      <c r="B4" s="8" t="s">
        <v>2002</v>
      </c>
    </row>
    <row r="5" ht="14.25" customHeight="1">
      <c r="A5" s="7" t="s">
        <v>24</v>
      </c>
      <c r="B5" s="8" t="s">
        <v>2003</v>
      </c>
    </row>
    <row r="6" ht="14.25" customHeight="1">
      <c r="A6" s="9" t="s">
        <v>2004</v>
      </c>
      <c r="B6" s="10">
        <v>1.0</v>
      </c>
      <c r="C6" s="8" t="s">
        <v>1210</v>
      </c>
      <c r="D6" s="10">
        <f>IFERROR(__xludf.DUMMYFUNCTION("GOOGLEFINANCE(""CURRENCY:USDINR"")"),94.49050000000001)</f>
        <v>94.4905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66">
        <v>72.0</v>
      </c>
      <c r="G10" s="167">
        <f t="shared" ref="G10:G26" si="1">ROUND(F10*$D$6, 2)</f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66">
        <v>54.0</v>
      </c>
      <c r="G11" s="167">
        <f t="shared" si="1"/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66">
        <v>108.0</v>
      </c>
      <c r="G12" s="167">
        <f t="shared" si="1"/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66">
        <v>78.0</v>
      </c>
      <c r="G13" s="167">
        <f t="shared" si="1"/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66">
        <v>180.0</v>
      </c>
      <c r="G14" s="167">
        <f t="shared" si="1"/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66">
        <v>132.0</v>
      </c>
      <c r="G15" s="167">
        <f t="shared" si="1"/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66">
        <v>180.0</v>
      </c>
      <c r="G16" s="167">
        <f t="shared" si="1"/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66">
        <v>132.0</v>
      </c>
      <c r="G17" s="167">
        <f t="shared" si="1"/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66">
        <v>36.0</v>
      </c>
      <c r="G18" s="167">
        <f t="shared" si="1"/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66">
        <v>36.0</v>
      </c>
      <c r="G19" s="167">
        <f t="shared" si="1"/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66">
        <v>30.0</v>
      </c>
      <c r="G20" s="167">
        <f t="shared" si="1"/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66">
        <v>108.0</v>
      </c>
      <c r="G21" s="167">
        <f t="shared" si="1"/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66">
        <v>15.0</v>
      </c>
      <c r="G22" s="167">
        <f t="shared" si="1"/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66">
        <v>15.0</v>
      </c>
      <c r="G23" s="167">
        <f t="shared" si="1"/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66">
        <v>24.0</v>
      </c>
      <c r="G24" s="167">
        <f t="shared" si="1"/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66">
        <v>6.0</v>
      </c>
      <c r="G25" s="167">
        <f t="shared" si="1"/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66">
        <v>3.0</v>
      </c>
      <c r="G26" s="167">
        <f t="shared" si="1"/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2091</v>
      </c>
      <c r="C29" s="21" t="s">
        <v>76</v>
      </c>
      <c r="D29" s="168">
        <v>2.0</v>
      </c>
      <c r="E29" s="169">
        <f t="shared" ref="E29:E40" si="2">ROUND(D29*$D$6, 2)</f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2098</v>
      </c>
      <c r="C30" s="25" t="s">
        <v>76</v>
      </c>
      <c r="D30" s="170">
        <v>2.0</v>
      </c>
      <c r="E30" s="171">
        <f t="shared" si="2"/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2102</v>
      </c>
      <c r="C31" s="25" t="s">
        <v>76</v>
      </c>
      <c r="D31" s="170">
        <v>2.0</v>
      </c>
      <c r="E31" s="171">
        <f t="shared" si="2"/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2103</v>
      </c>
      <c r="C32" s="25" t="s">
        <v>76</v>
      </c>
      <c r="D32" s="170">
        <v>2.0</v>
      </c>
      <c r="E32" s="171">
        <f t="shared" si="2"/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2105</v>
      </c>
      <c r="C33" s="25" t="s">
        <v>76</v>
      </c>
      <c r="D33" s="170">
        <v>2.0</v>
      </c>
      <c r="E33" s="171">
        <f t="shared" si="2"/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2107</v>
      </c>
      <c r="C34" s="25" t="s">
        <v>76</v>
      </c>
      <c r="D34" s="170">
        <v>2.0</v>
      </c>
      <c r="E34" s="171">
        <f t="shared" si="2"/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2109</v>
      </c>
      <c r="C35" s="25" t="s">
        <v>76</v>
      </c>
      <c r="D35" s="170">
        <v>2.0</v>
      </c>
      <c r="E35" s="171">
        <f t="shared" si="2"/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2110</v>
      </c>
      <c r="C36" s="25" t="s">
        <v>76</v>
      </c>
      <c r="D36" s="170">
        <v>2.0</v>
      </c>
      <c r="E36" s="171">
        <f t="shared" si="2"/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2112</v>
      </c>
      <c r="C37" s="25" t="s">
        <v>76</v>
      </c>
      <c r="D37" s="170">
        <v>2.0</v>
      </c>
      <c r="E37" s="171">
        <f t="shared" si="2"/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2114</v>
      </c>
      <c r="C38" s="25" t="s">
        <v>76</v>
      </c>
      <c r="D38" s="170">
        <v>2.0</v>
      </c>
      <c r="E38" s="171">
        <f t="shared" si="2"/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2115</v>
      </c>
      <c r="C39" s="25" t="s">
        <v>76</v>
      </c>
      <c r="D39" s="170">
        <v>2.0</v>
      </c>
      <c r="E39" s="171">
        <f t="shared" si="2"/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2116</v>
      </c>
      <c r="C40" s="37" t="s">
        <v>76</v>
      </c>
      <c r="D40" s="183">
        <v>2.0</v>
      </c>
      <c r="E40" s="184">
        <f t="shared" si="2"/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2117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2118</v>
      </c>
    </row>
    <row r="4" ht="14.25" customHeight="1">
      <c r="A4" s="9" t="s">
        <v>19</v>
      </c>
      <c r="B4" s="8" t="s">
        <v>2002</v>
      </c>
    </row>
    <row r="5" ht="14.25" customHeight="1">
      <c r="A5" s="7" t="s">
        <v>24</v>
      </c>
      <c r="B5" s="8" t="s">
        <v>2003</v>
      </c>
    </row>
    <row r="6" ht="14.25" customHeight="1">
      <c r="A6" s="9" t="s">
        <v>2004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27">
        <f>IFERROR(__xludf.DUMMYFUNCTION("IF(ISNUMBER(F10), ROUND(F10 * GOOGLEFINANCE(""CURRENCY:USDINR""), 2), """")"),6803.32)</f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27">
        <f>IFERROR(__xludf.DUMMYFUNCTION("IF(ISNUMBER(F11), ROUND(F11 * GOOGLEFINANCE(""CURRENCY:USDINR""), 2), """")"),5102.49)</f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27">
        <f>IFERROR(__xludf.DUMMYFUNCTION("IF(ISNUMBER(F12), ROUND(F12 * GOOGLEFINANCE(""CURRENCY:USDINR""), 2), """")"),10204.97)</f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27">
        <f>IFERROR(__xludf.DUMMYFUNCTION("IF(ISNUMBER(F13), ROUND(F13 * GOOGLEFINANCE(""CURRENCY:USDINR""), 2), """")"),7370.26)</f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27">
        <f>IFERROR(__xludf.DUMMYFUNCTION("IF(ISNUMBER(F15), ROUND(F15 * GOOGLEFINANCE(""CURRENCY:USDINR""), 2), """")"),12472.75)</f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27">
        <f>IFERROR(__xludf.DUMMYFUNCTION("IF(ISNUMBER(F16), ROUND(F16 * GOOGLEFINANCE(""CURRENCY:USDINR""), 2), """")"),17008.29)</f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27">
        <f>IFERROR(__xludf.DUMMYFUNCTION("IF(ISNUMBER(F17), ROUND(F17 * GOOGLEFINANCE(""CURRENCY:USDINR""), 2), """")"),12472.75)</f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27">
        <f>IFERROR(__xludf.DUMMYFUNCTION("IF(ISNUMBER(F18), ROUND(F18 * GOOGLEFINANCE(""CURRENCY:USDINR""), 2), """")"),3401.66)</f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27">
        <f>IFERROR(__xludf.DUMMYFUNCTION("IF(ISNUMBER(F19), ROUND(F19 * GOOGLEFINANCE(""CURRENCY:USDINR""), 2), """")"),3401.66)</f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27">
        <f>IFERROR(__xludf.DUMMYFUNCTION("IF(ISNUMBER(F21), ROUND(F21 * GOOGLEFINANCE(""CURRENCY:USDINR""), 2), """")"),10204.97)</f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27">
        <f>IFERROR(__xludf.DUMMYFUNCTION("IF(ISNUMBER(F22), ROUND(F22 * GOOGLEFINANCE(""CURRENCY:USDINR""), 2), """")"),1417.36)</f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27">
        <f>IFERROR(__xludf.DUMMYFUNCTION("IF(ISNUMBER(F24), ROUND(F24 * GOOGLEFINANCE(""CURRENCY:USDINR""), 2), """")"),2267.77)</f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27">
        <f>IFERROR(__xludf.DUMMYFUNCTION("IF(ISNUMBER(F25), ROUND(F25 * GOOGLEFINANCE(""CURRENCY:USDINR""), 2), """")"),566.94)</f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27">
        <f>IFERROR(__xludf.DUMMYFUNCTION("IF(ISNUMBER(F26), ROUND(F26 * GOOGLEFINANCE(""CURRENCY:USDINR""), 2), """")"),283.47)</f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2036</v>
      </c>
      <c r="C29" s="21" t="s">
        <v>76</v>
      </c>
      <c r="D29" s="23">
        <v>36.0</v>
      </c>
      <c r="E29" s="172">
        <f>IFERROR(__xludf.DUMMYFUNCTION("IF(ISNUMBER(D29), ROUND(D29 * GOOGLEFINANCE(""CURRENCY:USDINR""), 2), """")"),3401.66)</f>
        <v>3401.66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2038</v>
      </c>
      <c r="C30" s="25" t="s">
        <v>76</v>
      </c>
      <c r="D30" s="27">
        <v>2.5</v>
      </c>
      <c r="E30" s="173">
        <f>IFERROR(__xludf.DUMMYFUNCTION("IF(ISNUMBER(D30), ROUND(D30 * GOOGLEFINANCE(""CURRENCY:USDINR""), 2), """")"),236.23)</f>
        <v>236.23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2040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2041</v>
      </c>
      <c r="C32" s="25" t="s">
        <v>76</v>
      </c>
      <c r="D32" s="27">
        <v>0.0</v>
      </c>
      <c r="E32" s="173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2043</v>
      </c>
      <c r="C33" s="25" t="s">
        <v>76</v>
      </c>
      <c r="D33" s="27">
        <v>0.0</v>
      </c>
      <c r="E33" s="173">
        <f>IFERROR(__xludf.DUMMYFUNCTION("IF(ISNUMBER(D33), ROUND(D33 * GOOGLEFINANCE(""CURRENCY:USDINR""), 2), """")"),0.0)</f>
        <v>0</v>
      </c>
      <c r="F33" s="19"/>
      <c r="G33" s="4"/>
      <c r="H33" s="4"/>
      <c r="I33" s="4" t="s">
        <v>78</v>
      </c>
    </row>
    <row r="34" ht="14.25" customHeight="1">
      <c r="A34" s="25" t="s">
        <v>74</v>
      </c>
      <c r="B34" s="26" t="s">
        <v>2044</v>
      </c>
      <c r="C34" s="25" t="s">
        <v>76</v>
      </c>
      <c r="D34" s="27">
        <v>2.4</v>
      </c>
      <c r="E34" s="173">
        <f>IFERROR(__xludf.DUMMYFUNCTION("IF(ISNUMBER(D34), ROUND(D34 * GOOGLEFINANCE(""CURRENCY:USDINR""), 2), """")"),226.78)</f>
        <v>226.78</v>
      </c>
      <c r="F34" s="19"/>
      <c r="G34" s="4"/>
      <c r="H34" s="4"/>
      <c r="I34" s="4" t="s">
        <v>78</v>
      </c>
    </row>
    <row r="35" ht="14.25" customHeight="1">
      <c r="A35" s="25" t="s">
        <v>74</v>
      </c>
      <c r="B35" s="26" t="s">
        <v>2046</v>
      </c>
      <c r="C35" s="25" t="s">
        <v>76</v>
      </c>
      <c r="D35" s="27">
        <v>0.0</v>
      </c>
      <c r="E35" s="173">
        <f>IFERROR(__xludf.DUMMYFUNCTION("IF(ISNUMBER(D35), ROUND(D35 * GOOGLEFINANCE(""CURRENCY:USDINR""), 2), """")"),0.0)</f>
        <v>0</v>
      </c>
    </row>
    <row r="36" ht="14.25" customHeight="1">
      <c r="A36" s="25" t="s">
        <v>74</v>
      </c>
      <c r="B36" s="26" t="s">
        <v>2048</v>
      </c>
      <c r="C36" s="25" t="s">
        <v>76</v>
      </c>
      <c r="D36" s="27">
        <v>0.0</v>
      </c>
      <c r="E36" s="173">
        <f>IFERROR(__xludf.DUMMYFUNCTION("IF(ISNUMBER(D36), ROUND(D36 * GOOGLEFINANCE(""CURRENCY:USDINR""), 2), """")"),0.0)</f>
        <v>0</v>
      </c>
    </row>
    <row r="37" ht="14.25" customHeight="1">
      <c r="A37" s="25" t="s">
        <v>74</v>
      </c>
      <c r="B37" s="26" t="s">
        <v>2049</v>
      </c>
      <c r="C37" s="25" t="s">
        <v>76</v>
      </c>
      <c r="D37" s="27">
        <v>4.8</v>
      </c>
      <c r="E37" s="173">
        <f>IFERROR(__xludf.DUMMYFUNCTION("IF(ISNUMBER(D37), ROUND(D37 * GOOGLEFINANCE(""CURRENCY:USDINR""), 2), """")"),453.55)</f>
        <v>453.55</v>
      </c>
    </row>
    <row r="38" ht="14.25" customHeight="1">
      <c r="A38" s="25" t="s">
        <v>74</v>
      </c>
      <c r="B38" s="26" t="s">
        <v>2050</v>
      </c>
      <c r="C38" s="25" t="s">
        <v>76</v>
      </c>
      <c r="D38" s="27">
        <v>36.0</v>
      </c>
      <c r="E38" s="173">
        <f>IFERROR(__xludf.DUMMYFUNCTION("IF(ISNUMBER(D38), ROUND(D38 * GOOGLEFINANCE(""CURRENCY:USDINR""), 2), """")"),3401.66)</f>
        <v>3401.66</v>
      </c>
    </row>
    <row r="39" ht="14.25" customHeight="1">
      <c r="A39" s="25" t="s">
        <v>74</v>
      </c>
      <c r="B39" s="26" t="s">
        <v>2052</v>
      </c>
      <c r="C39" s="25" t="s">
        <v>76</v>
      </c>
      <c r="D39" s="27">
        <v>0.0</v>
      </c>
      <c r="E39" s="173">
        <f>IFERROR(__xludf.DUMMYFUNCTION("IF(ISNUMBER(D39), ROUND(D39 * GOOGLEFINANCE(""CURRENCY:USDINR""), 2), """")"),0.0)</f>
        <v>0</v>
      </c>
    </row>
    <row r="40" ht="14.25" customHeight="1">
      <c r="A40" s="25" t="s">
        <v>74</v>
      </c>
      <c r="B40" s="26" t="s">
        <v>2054</v>
      </c>
      <c r="C40" s="25" t="s">
        <v>76</v>
      </c>
      <c r="D40" s="27">
        <v>0.0</v>
      </c>
      <c r="E40" s="173">
        <f>IFERROR(__xludf.DUMMYFUNCTION("IF(ISNUMBER(D40), ROUND(D40 * GOOGLEFINANCE(""CURRENCY:USDINR""), 2), """")"),0.0)</f>
        <v>0</v>
      </c>
    </row>
    <row r="41" ht="14.25" customHeight="1">
      <c r="A41" s="25" t="s">
        <v>74</v>
      </c>
      <c r="B41" s="26" t="s">
        <v>2056</v>
      </c>
      <c r="C41" s="25" t="s">
        <v>76</v>
      </c>
      <c r="D41" s="27">
        <v>8.0</v>
      </c>
      <c r="E41" s="173">
        <f>IFERROR(__xludf.DUMMYFUNCTION("IF(ISNUMBER(D41), ROUND(D41 * GOOGLEFINANCE(""CURRENCY:USDINR""), 2), """")"),755.92)</f>
        <v>755.92</v>
      </c>
    </row>
    <row r="42" ht="14.25" customHeight="1">
      <c r="A42" s="25" t="s">
        <v>74</v>
      </c>
      <c r="B42" s="29" t="s">
        <v>2058</v>
      </c>
      <c r="C42" s="25" t="s">
        <v>76</v>
      </c>
      <c r="D42" s="27">
        <v>0.0</v>
      </c>
      <c r="E42" s="173">
        <f>IFERROR(__xludf.DUMMYFUNCTION("IF(ISNUMBER(D42), ROUND(D42 * GOOGLEFINANCE(""CURRENCY:USDINR""), 2), """")"),0.0)</f>
        <v>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2119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2120</v>
      </c>
    </row>
    <row r="4" ht="14.25" customHeight="1">
      <c r="A4" s="9" t="s">
        <v>19</v>
      </c>
      <c r="B4" s="8" t="s">
        <v>2002</v>
      </c>
    </row>
    <row r="5" ht="14.25" customHeight="1">
      <c r="A5" s="7" t="s">
        <v>24</v>
      </c>
      <c r="B5" s="8" t="s">
        <v>2003</v>
      </c>
    </row>
    <row r="6" ht="14.25" customHeight="1">
      <c r="A6" s="9" t="s">
        <v>2004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72.0</v>
      </c>
      <c r="G10" s="127">
        <f>IFERROR(__xludf.DUMMYFUNCTION("IF(ISNUMBER(F10), ROUND(F10 * GOOGLEFINANCE(""CURRENCY:USDINR""), 2), """")"),6803.32)</f>
        <v>6803.32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54.0</v>
      </c>
      <c r="G11" s="127">
        <f>IFERROR(__xludf.DUMMYFUNCTION("IF(ISNUMBER(F11), ROUND(F11 * GOOGLEFINANCE(""CURRENCY:USDINR""), 2), """")"),5102.49)</f>
        <v>5102.49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108.0</v>
      </c>
      <c r="G12" s="127">
        <f>IFERROR(__xludf.DUMMYFUNCTION("IF(ISNUMBER(F12), ROUND(F12 * GOOGLEFINANCE(""CURRENCY:USDINR""), 2), """")"),10204.97)</f>
        <v>10204.97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78.0</v>
      </c>
      <c r="G13" s="127">
        <f>IFERROR(__xludf.DUMMYFUNCTION("IF(ISNUMBER(F13), ROUND(F13 * GOOGLEFINANCE(""CURRENCY:USDINR""), 2), """")"),7370.26)</f>
        <v>7370.26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180.0</v>
      </c>
      <c r="G14" s="127">
        <f>IFERROR(__xludf.DUMMYFUNCTION("IF(ISNUMBER(F14), ROUND(F14 * GOOGLEFINANCE(""CURRENCY:USDINR""), 2), """")"),17008.29)</f>
        <v>17008.29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132.0</v>
      </c>
      <c r="G15" s="127">
        <f>IFERROR(__xludf.DUMMYFUNCTION("IF(ISNUMBER(F15), ROUND(F15 * GOOGLEFINANCE(""CURRENCY:USDINR""), 2), """")"),12472.75)</f>
        <v>12472.75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180.0</v>
      </c>
      <c r="G16" s="127">
        <f>IFERROR(__xludf.DUMMYFUNCTION("IF(ISNUMBER(F16), ROUND(F16 * GOOGLEFINANCE(""CURRENCY:USDINR""), 2), """")"),17008.29)</f>
        <v>17008.29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132.0</v>
      </c>
      <c r="G17" s="127">
        <f>IFERROR(__xludf.DUMMYFUNCTION("IF(ISNUMBER(F17), ROUND(F17 * GOOGLEFINANCE(""CURRENCY:USDINR""), 2), """")"),12472.75)</f>
        <v>12472.75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36.0</v>
      </c>
      <c r="G18" s="127">
        <f>IFERROR(__xludf.DUMMYFUNCTION("IF(ISNUMBER(F18), ROUND(F18 * GOOGLEFINANCE(""CURRENCY:USDINR""), 2), """")"),3401.66)</f>
        <v>3401.66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36.0</v>
      </c>
      <c r="G19" s="127">
        <f>IFERROR(__xludf.DUMMYFUNCTION("IF(ISNUMBER(F19), ROUND(F19 * GOOGLEFINANCE(""CURRENCY:USDINR""), 2), """")"),3401.66)</f>
        <v>3401.66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30.0</v>
      </c>
      <c r="G20" s="127">
        <f>IFERROR(__xludf.DUMMYFUNCTION("IF(ISNUMBER(F20), ROUND(F20 * GOOGLEFINANCE(""CURRENCY:USDINR""), 2), """")"),2834.72)</f>
        <v>2834.72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108.0</v>
      </c>
      <c r="G21" s="127">
        <f>IFERROR(__xludf.DUMMYFUNCTION("IF(ISNUMBER(F21), ROUND(F21 * GOOGLEFINANCE(""CURRENCY:USDINR""), 2), """")"),10204.97)</f>
        <v>10204.97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15.0</v>
      </c>
      <c r="G22" s="127">
        <f>IFERROR(__xludf.DUMMYFUNCTION("IF(ISNUMBER(F22), ROUND(F22 * GOOGLEFINANCE(""CURRENCY:USDINR""), 2), """")"),1417.36)</f>
        <v>1417.36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15.0</v>
      </c>
      <c r="G23" s="127">
        <f>IFERROR(__xludf.DUMMYFUNCTION("IF(ISNUMBER(F23), ROUND(F23 * GOOGLEFINANCE(""CURRENCY:USDINR""), 2), """")"),1417.36)</f>
        <v>1417.36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24.0</v>
      </c>
      <c r="G24" s="127">
        <f>IFERROR(__xludf.DUMMYFUNCTION("IF(ISNUMBER(F24), ROUND(F24 * GOOGLEFINANCE(""CURRENCY:USDINR""), 2), """")"),2267.77)</f>
        <v>2267.77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6.0</v>
      </c>
      <c r="G25" s="127">
        <f>IFERROR(__xludf.DUMMYFUNCTION("IF(ISNUMBER(F25), ROUND(F25 * GOOGLEFINANCE(""CURRENCY:USDINR""), 2), """")"),566.94)</f>
        <v>566.94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3.0</v>
      </c>
      <c r="G26" s="127">
        <f>IFERROR(__xludf.DUMMYFUNCTION("IF(ISNUMBER(F26), ROUND(F26 * GOOGLEFINANCE(""CURRENCY:USDINR""), 2), """")"),283.47)</f>
        <v>283.47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2122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2126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2130</v>
      </c>
      <c r="C31" s="25" t="s">
        <v>76</v>
      </c>
      <c r="D31" s="27">
        <v>2.0</v>
      </c>
      <c r="E31" s="173">
        <f>IFERROR(__xludf.DUMMYFUNCTION("IF(ISNUMBER(D31), ROUND(D31 * GOOGLEFINANCE(""CURRENCY:USDINR""), 2), """")"),188.98)</f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2131</v>
      </c>
      <c r="C32" s="25" t="s">
        <v>76</v>
      </c>
      <c r="D32" s="27">
        <v>2.8</v>
      </c>
      <c r="E32" s="173">
        <f>IFERROR(__xludf.DUMMYFUNCTION("IF(ISNUMBER(D32), ROUND(D32 * GOOGLEFINANCE(""CURRENCY:USDINR""), 2), """")"),264.57)</f>
        <v>264.57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2132</v>
      </c>
      <c r="C33" s="25" t="s">
        <v>76</v>
      </c>
      <c r="D33" s="27">
        <v>0.0</v>
      </c>
      <c r="E33" s="173">
        <f>IFERROR(__xludf.DUMMYFUNCTION("IF(ISNUMBER(D33), ROUND(D33 * GOOGLEFINANCE(""CURRENCY:USDINR""),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2133</v>
      </c>
      <c r="C34" s="25" t="s">
        <v>76</v>
      </c>
      <c r="D34" s="27">
        <v>0.0</v>
      </c>
      <c r="E34" s="173">
        <f>IFERROR(__xludf.DUMMYFUNCTION("IF(ISNUMBER(D34), ROUND(D34 * GOOGLEFINANCE(""CURRENCY:USDINR""),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2134</v>
      </c>
      <c r="C35" s="25" t="s">
        <v>76</v>
      </c>
      <c r="D35" s="27">
        <v>4.0</v>
      </c>
      <c r="E35" s="173">
        <f>IFERROR(__xludf.DUMMYFUNCTION("IF(ISNUMBER(D35), ROUND(D35 * GOOGLEFINANCE(""CURRENCY:USDINR""), 2), """")"),377.96)</f>
        <v>377.96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2135</v>
      </c>
      <c r="C36" s="25" t="s">
        <v>76</v>
      </c>
      <c r="D36" s="27">
        <v>2.0</v>
      </c>
      <c r="E36" s="173">
        <f>IFERROR(__xludf.DUMMYFUNCTION("IF(ISNUMBER(D36), ROUND(D36 * GOOGLEFINANCE(""CURRENCY:USDINR""), 2), """")"),188.98)</f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2136</v>
      </c>
      <c r="C37" s="25" t="s">
        <v>76</v>
      </c>
      <c r="D37" s="27">
        <v>0.0</v>
      </c>
      <c r="E37" s="173">
        <f>IFERROR(__xludf.DUMMYFUNCTION("IF(ISNUMBER(D37), ROUND(D37 * GOOGLEFINANCE(""CURRENCY:USDINR""),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2137</v>
      </c>
      <c r="C38" s="25" t="s">
        <v>76</v>
      </c>
      <c r="D38" s="27">
        <v>6.0</v>
      </c>
      <c r="E38" s="173">
        <f>IFERROR(__xludf.DUMMYFUNCTION("IF(ISNUMBER(D38), ROUND(D38 * GOOGLEFINANCE(""CURRENCY:USDINR""), 2), """")"),566.94)</f>
        <v>566.94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2138</v>
      </c>
      <c r="C39" s="25" t="s">
        <v>76</v>
      </c>
      <c r="D39" s="27">
        <v>0.0</v>
      </c>
      <c r="E39" s="173">
        <f>IFERROR(__xludf.DUMMYFUNCTION("IF(ISNUMBER(D39), ROUND(D39 * GOOGLEFINANCE(""CURRENCY:USDINR""),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2139</v>
      </c>
      <c r="C40" s="25" t="s">
        <v>76</v>
      </c>
      <c r="D40" s="27">
        <v>0.0</v>
      </c>
      <c r="E40" s="173">
        <f>IFERROR(__xludf.DUMMYFUNCTION("IF(ISNUMBER(D40), ROUND(D40 * GOOGLEFINANCE(""CURRENCY:USDINR""), 2), """")"),0.0)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2140</v>
      </c>
      <c r="C41" s="25" t="s">
        <v>76</v>
      </c>
      <c r="D41" s="27">
        <v>0.0</v>
      </c>
      <c r="E41" s="173">
        <f>IFERROR(__xludf.DUMMYFUNCTION("IF(ISNUMBER(D41), ROUND(D41 * GOOGLEFINANCE(""CURRENCY:USDINR""), 2), """")"),0.0)</f>
        <v>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9" t="s">
        <v>2141</v>
      </c>
      <c r="C42" s="25" t="s">
        <v>76</v>
      </c>
      <c r="D42" s="27">
        <v>0.0</v>
      </c>
      <c r="E42" s="173">
        <f>IFERROR(__xludf.DUMMYFUNCTION("IF(ISNUMBER(D42), ROUND(D42 * GOOGLEFINANCE(""CURRENCY:USDINR""), 2), """")"),0.0)</f>
        <v>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2121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2123</v>
      </c>
    </row>
    <row r="4" ht="14.25" customHeight="1">
      <c r="A4" s="9" t="s">
        <v>19</v>
      </c>
      <c r="B4" s="8" t="s">
        <v>2125</v>
      </c>
    </row>
    <row r="5" ht="14.25" customHeight="1">
      <c r="A5" s="7" t="s">
        <v>24</v>
      </c>
      <c r="B5" s="8" t="s">
        <v>2127</v>
      </c>
    </row>
    <row r="6" ht="14.25" customHeight="1">
      <c r="A6" s="9" t="s">
        <v>2128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2142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2143</v>
      </c>
      <c r="C30" s="25" t="s">
        <v>76</v>
      </c>
      <c r="D30" s="27">
        <v>2.2</v>
      </c>
      <c r="E30" s="173">
        <f>IFERROR(__xludf.DUMMYFUNCTION("IF(ISNUMBER(D30), ROUND(D30 * GOOGLEFINANCE(""CURRENCY:USDINR""), 2), """")"),207.88)</f>
        <v>207.88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2144</v>
      </c>
      <c r="C31" s="25" t="s">
        <v>76</v>
      </c>
      <c r="D31" s="27">
        <v>3.3</v>
      </c>
      <c r="E31" s="173">
        <f>IFERROR(__xludf.DUMMYFUNCTION("IF(ISNUMBER(D31), ROUND(D31 * GOOGLEFINANCE(""CURRENCY:USDINR""), 2), """")"),311.82)</f>
        <v>311.82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2146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2124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2129</v>
      </c>
    </row>
    <row r="4" ht="14.25" customHeight="1">
      <c r="A4" s="9" t="s">
        <v>19</v>
      </c>
      <c r="B4" s="8" t="s">
        <v>2125</v>
      </c>
    </row>
    <row r="5" ht="14.25" customHeight="1">
      <c r="A5" s="7" t="s">
        <v>24</v>
      </c>
      <c r="B5" s="8" t="s">
        <v>2127</v>
      </c>
    </row>
    <row r="6" ht="14.25" customHeight="1">
      <c r="A6" s="9" t="s">
        <v>2128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2148</v>
      </c>
      <c r="C29" s="21" t="s">
        <v>76</v>
      </c>
      <c r="D29" s="23">
        <v>5.5</v>
      </c>
      <c r="E29" s="172">
        <f>IFERROR(__xludf.DUMMYFUNCTION("IF(ISNUMBER(D29), ROUND(D29 * GOOGLEFINANCE(""CURRENCY:USDINR""), 2), """")"),519.7)</f>
        <v>519.7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2149</v>
      </c>
      <c r="C30" s="25" t="s">
        <v>76</v>
      </c>
      <c r="D30" s="27">
        <v>7.0</v>
      </c>
      <c r="E30" s="173">
        <f>IFERROR(__xludf.DUMMYFUNCTION("IF(ISNUMBER(D30), ROUND(D30 * GOOGLEFINANCE(""CURRENCY:USDINR""), 2), """")"),661.43)</f>
        <v>661.43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2150</v>
      </c>
      <c r="C31" s="25" t="s">
        <v>76</v>
      </c>
      <c r="D31" s="27">
        <v>12.0</v>
      </c>
      <c r="E31" s="173">
        <f>IFERROR(__xludf.DUMMYFUNCTION("IF(ISNUMBER(D31), ROUND(D31 * GOOGLEFINANCE(""CURRENCY:USDINR""), 2), """")"),1133.89)</f>
        <v>1133.89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2151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2145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2147</v>
      </c>
    </row>
    <row r="4" ht="14.25" customHeight="1">
      <c r="A4" s="9" t="s">
        <v>19</v>
      </c>
      <c r="B4" s="8" t="s">
        <v>2125</v>
      </c>
    </row>
    <row r="5" ht="14.25" customHeight="1">
      <c r="A5" s="7" t="s">
        <v>24</v>
      </c>
      <c r="B5" s="8" t="s">
        <v>2127</v>
      </c>
    </row>
    <row r="6" ht="14.25" customHeight="1">
      <c r="A6" s="9" t="s">
        <v>2128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2152</v>
      </c>
      <c r="C29" s="21" t="s">
        <v>76</v>
      </c>
      <c r="D29" s="23">
        <v>11.5</v>
      </c>
      <c r="E29" s="172">
        <f>IFERROR(__xludf.DUMMYFUNCTION("IF(ISNUMBER(D29), ROUND(D29 * GOOGLEFINANCE(""CURRENCY:USDINR""), 2), """")"),1086.64)</f>
        <v>1086.64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2153</v>
      </c>
      <c r="C30" s="25" t="s">
        <v>76</v>
      </c>
      <c r="D30" s="27">
        <v>20.0</v>
      </c>
      <c r="E30" s="173">
        <f>IFERROR(__xludf.DUMMYFUNCTION("IF(ISNUMBER(D30), ROUND(D30 * GOOGLEFINANCE(""CURRENCY:USDINR""), 2), """")"),1889.81)</f>
        <v>1889.81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2154</v>
      </c>
      <c r="C31" s="25" t="s">
        <v>76</v>
      </c>
      <c r="D31" s="27">
        <v>18.5</v>
      </c>
      <c r="E31" s="173">
        <f>IFERROR(__xludf.DUMMYFUNCTION("IF(ISNUMBER(D31), ROUND(D31 * GOOGLEFINANCE(""CURRENCY:USDINR""), 2), """")"),1748.07)</f>
        <v>1748.07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2155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2156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2157</v>
      </c>
    </row>
    <row r="4" ht="14.25" customHeight="1">
      <c r="A4" s="9" t="s">
        <v>19</v>
      </c>
      <c r="B4" s="8" t="s">
        <v>2125</v>
      </c>
    </row>
    <row r="5" ht="14.25" customHeight="1">
      <c r="A5" s="7" t="s">
        <v>24</v>
      </c>
      <c r="B5" s="8" t="s">
        <v>2127</v>
      </c>
    </row>
    <row r="6" ht="14.25" customHeight="1">
      <c r="A6" s="9" t="s">
        <v>2128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2160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2161</v>
      </c>
      <c r="C30" s="25" t="s">
        <v>76</v>
      </c>
      <c r="D30" s="27">
        <v>2.5</v>
      </c>
      <c r="E30" s="173">
        <f>IFERROR(__xludf.DUMMYFUNCTION("IF(ISNUMBER(D30), ROUND(D30 * GOOGLEFINANCE(""CURRENCY:USDINR""), 2), """")"),236.23)</f>
        <v>236.23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2163</v>
      </c>
      <c r="C31" s="25" t="s">
        <v>76</v>
      </c>
      <c r="D31" s="27">
        <v>7.0</v>
      </c>
      <c r="E31" s="173">
        <f>IFERROR(__xludf.DUMMYFUNCTION("IF(ISNUMBER(D31), ROUND(D31 * GOOGLEFINANCE(""CURRENCY:USDINR""), 2), """")"),661.43)</f>
        <v>661.43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2165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2158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2159</v>
      </c>
    </row>
    <row r="4" ht="14.25" customHeight="1">
      <c r="A4" s="9" t="s">
        <v>19</v>
      </c>
      <c r="B4" s="8" t="s">
        <v>2125</v>
      </c>
    </row>
    <row r="5" ht="14.25" customHeight="1">
      <c r="A5" s="7" t="s">
        <v>24</v>
      </c>
      <c r="B5" s="8" t="s">
        <v>2127</v>
      </c>
    </row>
    <row r="6" ht="14.25" customHeight="1">
      <c r="A6" s="9" t="s">
        <v>2128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2169</v>
      </c>
      <c r="C29" s="21" t="s">
        <v>76</v>
      </c>
      <c r="D29" s="23">
        <v>21.0</v>
      </c>
      <c r="E29" s="172">
        <f>IFERROR(__xludf.DUMMYFUNCTION("IF(ISNUMBER(D29), ROUND(D29 * GOOGLEFINANCE(""CURRENCY:USDINR""), 2), """")"),1984.3)</f>
        <v>1984.3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2171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2173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2175</v>
      </c>
      <c r="C32" s="25" t="s">
        <v>76</v>
      </c>
      <c r="D32" s="27">
        <v>0.0</v>
      </c>
      <c r="E32" s="173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>
      <c r="A33" s="37" t="s">
        <v>74</v>
      </c>
      <c r="B33" s="29" t="s">
        <v>2177</v>
      </c>
      <c r="C33" s="37" t="s">
        <v>76</v>
      </c>
      <c r="D33" s="39">
        <v>0.0</v>
      </c>
      <c r="E33" s="174">
        <f>IFERROR(__xludf.DUMMYFUNCTION("IF(ISNUMBER(D33), ROUND(D33 * GOOGLEFINANCE(""CURRENCY:USDINR""), 2), """")"),0.0)</f>
        <v>0</v>
      </c>
      <c r="F33" s="19"/>
      <c r="G33" s="4"/>
      <c r="H33" s="4"/>
      <c r="I33" s="4" t="s">
        <v>78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2162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2164</v>
      </c>
    </row>
    <row r="4" ht="14.25" customHeight="1">
      <c r="A4" s="9" t="s">
        <v>19</v>
      </c>
      <c r="B4" s="8" t="s">
        <v>2166</v>
      </c>
    </row>
    <row r="5" ht="14.25" customHeight="1">
      <c r="A5" s="7" t="s">
        <v>24</v>
      </c>
      <c r="B5" s="8" t="s">
        <v>2167</v>
      </c>
    </row>
    <row r="6" ht="14.25" customHeight="1">
      <c r="A6" s="9" t="s">
        <v>2168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2170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2172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2174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2176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2178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2179</v>
      </c>
    </row>
    <row r="4" ht="14.25" customHeight="1">
      <c r="A4" s="9" t="s">
        <v>19</v>
      </c>
      <c r="B4" s="8" t="s">
        <v>2166</v>
      </c>
    </row>
    <row r="5" ht="14.25" customHeight="1">
      <c r="A5" s="7" t="s">
        <v>24</v>
      </c>
      <c r="B5" s="8" t="s">
        <v>2167</v>
      </c>
    </row>
    <row r="6" ht="14.25" customHeight="1">
      <c r="A6" s="9" t="s">
        <v>2168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2182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2183</v>
      </c>
      <c r="C30" s="25" t="s">
        <v>76</v>
      </c>
      <c r="D30" s="27">
        <v>16.0</v>
      </c>
      <c r="E30" s="173">
        <f>IFERROR(__xludf.DUMMYFUNCTION("IF(ISNUMBER(D30), ROUND(D30 * GOOGLEFINANCE(""CURRENCY:USDINR""), 2), """")"),1511.85)</f>
        <v>1511.85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2184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2185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2180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2181</v>
      </c>
    </row>
    <row r="4" ht="14.25" customHeight="1">
      <c r="A4" s="9" t="s">
        <v>19</v>
      </c>
      <c r="B4" s="8" t="s">
        <v>2166</v>
      </c>
    </row>
    <row r="5" ht="14.25" customHeight="1">
      <c r="A5" s="7" t="s">
        <v>24</v>
      </c>
      <c r="B5" s="8" t="s">
        <v>2167</v>
      </c>
    </row>
    <row r="6" ht="14.25" customHeight="1">
      <c r="A6" s="9" t="s">
        <v>2168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2190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2192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2195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2197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2186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2187</v>
      </c>
    </row>
    <row r="4" ht="14.25" customHeight="1">
      <c r="A4" s="9" t="s">
        <v>19</v>
      </c>
      <c r="B4" s="8" t="s">
        <v>2166</v>
      </c>
    </row>
    <row r="5" ht="14.25" customHeight="1">
      <c r="A5" s="7" t="s">
        <v>24</v>
      </c>
      <c r="B5" s="8" t="s">
        <v>2167</v>
      </c>
    </row>
    <row r="6" ht="14.25" customHeight="1">
      <c r="A6" s="9" t="s">
        <v>2168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2191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2193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2194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2196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2188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2189</v>
      </c>
    </row>
    <row r="4" ht="14.25" customHeight="1">
      <c r="A4" s="9" t="s">
        <v>19</v>
      </c>
      <c r="B4" s="8" t="s">
        <v>2166</v>
      </c>
    </row>
    <row r="5" ht="14.25" customHeight="1">
      <c r="A5" s="7" t="s">
        <v>24</v>
      </c>
      <c r="B5" s="8" t="s">
        <v>2167</v>
      </c>
    </row>
    <row r="6" ht="14.25" customHeight="1">
      <c r="A6" s="9" t="s">
        <v>2168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2198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2199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2200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2201</v>
      </c>
      <c r="C32" s="25" t="s">
        <v>76</v>
      </c>
      <c r="D32" s="27">
        <v>0.0</v>
      </c>
      <c r="E32" s="173">
        <f>IFERROR(__xludf.DUMMYFUNCTION("IF(ISNUMBER(D32), ROUND(D32 * GOOGLEFINANCE(""CURRENCY:USDINR""),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2202</v>
      </c>
      <c r="C33" s="37" t="s">
        <v>76</v>
      </c>
      <c r="D33" s="39">
        <v>0.0</v>
      </c>
      <c r="E33" s="174">
        <f>IFERROR(__xludf.DUMMYFUNCTION("IF(ISNUMBER(D33), ROUND(D33 * GOOGLEFINANCE(""CURRENCY:USDINR""), 2), """")"),0.0)</f>
        <v>0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2203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2204</v>
      </c>
    </row>
    <row r="4" ht="14.25" customHeight="1">
      <c r="A4" s="9" t="s">
        <v>19</v>
      </c>
      <c r="B4" s="8" t="s">
        <v>2205</v>
      </c>
    </row>
    <row r="5" ht="14.25" customHeight="1">
      <c r="A5" s="7" t="s">
        <v>24</v>
      </c>
      <c r="B5" s="8" t="s">
        <v>2206</v>
      </c>
    </row>
    <row r="6" ht="14.25" customHeight="1">
      <c r="A6" s="9" t="s">
        <v>2207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2209</v>
      </c>
      <c r="C29" s="21" t="s">
        <v>76</v>
      </c>
      <c r="D29" s="23">
        <v>10.0</v>
      </c>
      <c r="E29" s="172">
        <f>IFERROR(__xludf.DUMMYFUNCTION("IF(ISNUMBER(D29), ROUND(D29 * GOOGLEFINANCE(""CURRENCY:USDINR""), 2), """")"),944.91)</f>
        <v>944.91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2211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2212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2214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2208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2210</v>
      </c>
    </row>
    <row r="4" ht="14.25" customHeight="1">
      <c r="A4" s="9" t="s">
        <v>19</v>
      </c>
      <c r="B4" s="8" t="s">
        <v>2205</v>
      </c>
    </row>
    <row r="5" ht="14.25" customHeight="1">
      <c r="A5" s="7" t="s">
        <v>24</v>
      </c>
      <c r="B5" s="8" t="s">
        <v>2206</v>
      </c>
    </row>
    <row r="6" ht="14.25" customHeight="1">
      <c r="A6" s="9" t="s">
        <v>2207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2213</v>
      </c>
      <c r="C29" s="21" t="s">
        <v>76</v>
      </c>
      <c r="D29" s="23">
        <v>37.0</v>
      </c>
      <c r="E29" s="172">
        <f>IFERROR(__xludf.DUMMYFUNCTION("IF(ISNUMBER(D29), ROUND(D29 * GOOGLEFINANCE(""CURRENCY:USDINR""), 2), """")"),3496.15)</f>
        <v>3496.15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2215</v>
      </c>
      <c r="C30" s="25" t="s">
        <v>76</v>
      </c>
      <c r="D30" s="27">
        <v>37.0</v>
      </c>
      <c r="E30" s="173">
        <f>IFERROR(__xludf.DUMMYFUNCTION("IF(ISNUMBER(D30), ROUND(D30 * GOOGLEFINANCE(""CURRENCY:USDINR""), 2), """")"),3496.15)</f>
        <v>3496.15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2216</v>
      </c>
      <c r="C31" s="25" t="s">
        <v>76</v>
      </c>
      <c r="D31" s="27">
        <v>37.0</v>
      </c>
      <c r="E31" s="173">
        <f>IFERROR(__xludf.DUMMYFUNCTION("IF(ISNUMBER(D31), ROUND(D31 * GOOGLEFINANCE(""CURRENCY:USDINR""), 2), """")"),3496.15)</f>
        <v>3496.15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2217</v>
      </c>
      <c r="C32" s="37" t="s">
        <v>76</v>
      </c>
      <c r="D32" s="39">
        <v>37.0</v>
      </c>
      <c r="E32" s="174">
        <f>IFERROR(__xludf.DUMMYFUNCTION("IF(ISNUMBER(D32), ROUND(D32 * GOOGLEFINANCE(""CURRENCY:USDINR""), 2), """")"),3496.15)</f>
        <v>3496.15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2218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2219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2220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2221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2222</v>
      </c>
      <c r="C31" s="25" t="s">
        <v>76</v>
      </c>
      <c r="D31" s="27">
        <v>2.0</v>
      </c>
      <c r="E31" s="28"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2224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2225</v>
      </c>
      <c r="C33" s="25" t="s">
        <v>76</v>
      </c>
      <c r="D33" s="27">
        <v>2.0</v>
      </c>
      <c r="E33" s="28"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2228</v>
      </c>
      <c r="C34" s="25" t="s">
        <v>76</v>
      </c>
      <c r="D34" s="27">
        <v>2.0</v>
      </c>
      <c r="E34" s="28"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2231</v>
      </c>
      <c r="C35" s="25" t="s">
        <v>76</v>
      </c>
      <c r="D35" s="27">
        <v>40.0</v>
      </c>
      <c r="E35" s="28">
        <v>3779.62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2232</v>
      </c>
      <c r="C36" s="25" t="s">
        <v>76</v>
      </c>
      <c r="D36" s="27">
        <v>2.0</v>
      </c>
      <c r="E36" s="28"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2233</v>
      </c>
      <c r="C37" s="25" t="s">
        <v>76</v>
      </c>
      <c r="D37" s="27">
        <v>2.0</v>
      </c>
      <c r="E37" s="28"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2234</v>
      </c>
      <c r="C38" s="25" t="s">
        <v>76</v>
      </c>
      <c r="D38" s="27">
        <v>2.0</v>
      </c>
      <c r="E38" s="28"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2236</v>
      </c>
      <c r="C39" s="25" t="s">
        <v>76</v>
      </c>
      <c r="D39" s="27">
        <v>2.0</v>
      </c>
      <c r="E39" s="28"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2237</v>
      </c>
      <c r="C40" s="25" t="s">
        <v>76</v>
      </c>
      <c r="D40" s="27">
        <v>5.0</v>
      </c>
      <c r="E40" s="28">
        <v>472.45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2239</v>
      </c>
      <c r="C41" s="25" t="s">
        <v>76</v>
      </c>
      <c r="D41" s="27">
        <v>2.0</v>
      </c>
      <c r="E41" s="28">
        <v>188.98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37" t="s">
        <v>74</v>
      </c>
      <c r="B42" s="29" t="s">
        <v>2240</v>
      </c>
      <c r="C42" s="37" t="s">
        <v>76</v>
      </c>
      <c r="D42" s="39">
        <v>2.0</v>
      </c>
      <c r="E42" s="40">
        <v>188.98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2223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2226</v>
      </c>
    </row>
    <row r="4" ht="14.25" customHeight="1">
      <c r="A4" s="9" t="s">
        <v>19</v>
      </c>
      <c r="B4" s="8" t="s">
        <v>2227</v>
      </c>
    </row>
    <row r="5" ht="14.25" customHeight="1">
      <c r="A5" s="7" t="s">
        <v>24</v>
      </c>
      <c r="B5" s="8" t="s">
        <v>2229</v>
      </c>
    </row>
    <row r="6" ht="14.25" customHeight="1">
      <c r="A6" s="9" t="s">
        <v>2230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5">
        <v>210.0</v>
      </c>
      <c r="G10" s="186">
        <f>IFERROR(__xludf.DUMMYFUNCTION("F10*GOOGLEFINANCE(""CURRENCY:USDINR"")"),19843.005)</f>
        <v>19843.005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5">
        <v>154.0</v>
      </c>
      <c r="G11" s="186">
        <f>IFERROR(__xludf.DUMMYFUNCTION("F11*GOOGLEFINANCE(""CURRENCY:USDINR"")"),14551.537000000002)</f>
        <v>14551.537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5">
        <v>308.0</v>
      </c>
      <c r="G12" s="186">
        <f>IFERROR(__xludf.DUMMYFUNCTION("F12*GOOGLEFINANCE(""CURRENCY:USDINR"")"),29103.074000000004)</f>
        <v>29103.074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5">
        <v>224.0</v>
      </c>
      <c r="G13" s="186">
        <f>IFERROR(__xludf.DUMMYFUNCTION("F13*GOOGLEFINANCE(""CURRENCY:USDINR"")"),21165.872000000003)</f>
        <v>21165.872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5">
        <v>490.0</v>
      </c>
      <c r="G14" s="186">
        <f>IFERROR(__xludf.DUMMYFUNCTION("F14*GOOGLEFINANCE(""CURRENCY:USDINR"")"),46300.34500000001)</f>
        <v>46300.345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5">
        <v>350.0</v>
      </c>
      <c r="G15" s="186">
        <f>IFERROR(__xludf.DUMMYFUNCTION("F15*GOOGLEFINANCE(""CURRENCY:USDINR"")"),33071.675)</f>
        <v>33071.675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5">
        <v>490.0</v>
      </c>
      <c r="G16" s="186">
        <f>IFERROR(__xludf.DUMMYFUNCTION("F16*GOOGLEFINANCE(""CURRENCY:USDINR"")"),46300.34500000001)</f>
        <v>46300.345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5">
        <v>350.0</v>
      </c>
      <c r="G17" s="186">
        <f>IFERROR(__xludf.DUMMYFUNCTION("F17*GOOGLEFINANCE(""CURRENCY:USDINR"")"),33071.675)</f>
        <v>33071.675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5">
        <v>98.0</v>
      </c>
      <c r="G18" s="186">
        <f>IFERROR(__xludf.DUMMYFUNCTION("F18*GOOGLEFINANCE(""CURRENCY:USDINR"")"),9260.069000000001)</f>
        <v>9260.069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5">
        <v>98.0</v>
      </c>
      <c r="G19" s="186">
        <f>IFERROR(__xludf.DUMMYFUNCTION("F19*GOOGLEFINANCE(""CURRENCY:USDINR"")"),9260.069000000001)</f>
        <v>9260.069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5">
        <v>84.0</v>
      </c>
      <c r="G20" s="186">
        <f>IFERROR(__xludf.DUMMYFUNCTION("F20*GOOGLEFINANCE(""CURRENCY:USDINR"")"),7937.202000000001)</f>
        <v>7937.202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5">
        <v>350.0</v>
      </c>
      <c r="G21" s="186">
        <f>IFERROR(__xludf.DUMMYFUNCTION("F21*GOOGLEFINANCE(""CURRENCY:USDINR"")"),33071.675)</f>
        <v>33071.675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5">
        <v>49.0</v>
      </c>
      <c r="G22" s="186">
        <f>IFERROR(__xludf.DUMMYFUNCTION("F22*GOOGLEFINANCE(""CURRENCY:USDINR"")"),4630.034500000001)</f>
        <v>4630.0345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5">
        <v>42.0</v>
      </c>
      <c r="G23" s="186">
        <f>IFERROR(__xludf.DUMMYFUNCTION("F23*GOOGLEFINANCE(""CURRENCY:USDINR"")"),3968.6010000000006)</f>
        <v>3968.601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5">
        <v>70.0</v>
      </c>
      <c r="G24" s="186">
        <f>IFERROR(__xludf.DUMMYFUNCTION("F24*GOOGLEFINANCE(""CURRENCY:USDINR"")"),6614.335000000001)</f>
        <v>6614.335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5">
        <v>21.0</v>
      </c>
      <c r="G25" s="186">
        <f>IFERROR(__xludf.DUMMYFUNCTION("F25*GOOGLEFINANCE(""CURRENCY:USDINR"")"),1984.3005000000003)</f>
        <v>1984.3005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5">
        <v>11.0</v>
      </c>
      <c r="G26" s="186">
        <f>IFERROR(__xludf.DUMMYFUNCTION("F26*GOOGLEFINANCE(""CURRENCY:USDINR"")"),1039.3955)</f>
        <v>1039.3955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2245</v>
      </c>
      <c r="C29" s="21" t="s">
        <v>76</v>
      </c>
      <c r="D29" s="21" t="s">
        <v>120</v>
      </c>
      <c r="E29" s="21" t="s">
        <v>120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2246</v>
      </c>
      <c r="C30" s="25" t="s">
        <v>76</v>
      </c>
      <c r="D30" s="25" t="s">
        <v>120</v>
      </c>
      <c r="E30" s="25" t="s">
        <v>120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2247</v>
      </c>
      <c r="C31" s="25" t="s">
        <v>76</v>
      </c>
      <c r="D31" s="25" t="s">
        <v>120</v>
      </c>
      <c r="E31" s="25" t="s">
        <v>120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2248</v>
      </c>
      <c r="C32" s="25" t="s">
        <v>76</v>
      </c>
      <c r="D32" s="25" t="s">
        <v>120</v>
      </c>
      <c r="E32" s="25" t="s">
        <v>120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2249</v>
      </c>
      <c r="C33" s="37" t="s">
        <v>76</v>
      </c>
      <c r="D33" s="37" t="s">
        <v>120</v>
      </c>
      <c r="E33" s="37" t="s">
        <v>120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2235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2238</v>
      </c>
    </row>
    <row r="4" ht="14.25" customHeight="1">
      <c r="A4" s="9" t="s">
        <v>19</v>
      </c>
      <c r="B4" s="8" t="s">
        <v>2227</v>
      </c>
    </row>
    <row r="5" ht="14.25" customHeight="1">
      <c r="A5" s="7" t="s">
        <v>24</v>
      </c>
      <c r="B5" s="8" t="s">
        <v>2229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5">
        <v>150.0</v>
      </c>
      <c r="G10" s="186">
        <f>IFERROR(__xludf.DUMMYFUNCTION("F10*GOOGLEFINANCE(""CURRENCY:USDINR"")"),14173.575000000003)</f>
        <v>14173.575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5">
        <v>110.0</v>
      </c>
      <c r="G11" s="186">
        <f>IFERROR(__xludf.DUMMYFUNCTION("F11*GOOGLEFINANCE(""CURRENCY:USDINR"")"),10393.955000000002)</f>
        <v>10393.955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5">
        <v>220.0</v>
      </c>
      <c r="G12" s="186">
        <f>IFERROR(__xludf.DUMMYFUNCTION("F12*GOOGLEFINANCE(""CURRENCY:USDINR"")"),20787.910000000003)</f>
        <v>20787.91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5">
        <v>160.0</v>
      </c>
      <c r="G13" s="186">
        <f>IFERROR(__xludf.DUMMYFUNCTION("F13*GOOGLEFINANCE(""CURRENCY:USDINR"")"),15118.480000000001)</f>
        <v>15118.48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5">
        <v>350.0</v>
      </c>
      <c r="G14" s="186">
        <f>IFERROR(__xludf.DUMMYFUNCTION("F14*GOOGLEFINANCE(""CURRENCY:USDINR"")"),33071.675)</f>
        <v>33071.675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5">
        <v>250.0</v>
      </c>
      <c r="G15" s="186">
        <f>IFERROR(__xludf.DUMMYFUNCTION("F15*GOOGLEFINANCE(""CURRENCY:USDINR"")"),23622.625000000004)</f>
        <v>23622.625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5">
        <v>350.0</v>
      </c>
      <c r="G16" s="186">
        <f>IFERROR(__xludf.DUMMYFUNCTION("F16*GOOGLEFINANCE(""CURRENCY:USDINR"")"),33071.675)</f>
        <v>33071.675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5">
        <v>250.0</v>
      </c>
      <c r="G17" s="186">
        <f>IFERROR(__xludf.DUMMYFUNCTION("F17*GOOGLEFINANCE(""CURRENCY:USDINR"")"),23622.625000000004)</f>
        <v>23622.625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5">
        <v>70.0</v>
      </c>
      <c r="G18" s="186">
        <f>IFERROR(__xludf.DUMMYFUNCTION("F18*GOOGLEFINANCE(""CURRENCY:USDINR"")"),6614.335000000001)</f>
        <v>6614.335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5">
        <v>70.0</v>
      </c>
      <c r="G19" s="186">
        <f>IFERROR(__xludf.DUMMYFUNCTION("F19*GOOGLEFINANCE(""CURRENCY:USDINR"")"),6614.335000000001)</f>
        <v>6614.335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5">
        <v>60.0</v>
      </c>
      <c r="G20" s="186">
        <f>IFERROR(__xludf.DUMMYFUNCTION("F20*GOOGLEFINANCE(""CURRENCY:USDINR"")"),5669.43)</f>
        <v>5669.43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5">
        <v>250.0</v>
      </c>
      <c r="G21" s="186">
        <f>IFERROR(__xludf.DUMMYFUNCTION("F21*GOOGLEFINANCE(""CURRENCY:USDINR"")"),23622.625000000004)</f>
        <v>23622.625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5">
        <v>35.0</v>
      </c>
      <c r="G22" s="186">
        <f>IFERROR(__xludf.DUMMYFUNCTION("F22*GOOGLEFINANCE(""CURRENCY:USDINR"")"),3307.1675000000005)</f>
        <v>3307.1675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5">
        <v>30.0</v>
      </c>
      <c r="G23" s="186">
        <f>IFERROR(__xludf.DUMMYFUNCTION("F23*GOOGLEFINANCE(""CURRENCY:USDINR"")"),2834.715)</f>
        <v>2834.715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5">
        <v>50.0</v>
      </c>
      <c r="G24" s="186">
        <f>IFERROR(__xludf.DUMMYFUNCTION("F24*GOOGLEFINANCE(""CURRENCY:USDINR"")"),4724.525000000001)</f>
        <v>4724.525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5">
        <v>15.0</v>
      </c>
      <c r="G25" s="186">
        <f>IFERROR(__xludf.DUMMYFUNCTION("F25*GOOGLEFINANCE(""CURRENCY:USDINR"")"),1417.3575)</f>
        <v>1417.3575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5">
        <v>8.0</v>
      </c>
      <c r="G26" s="186">
        <f>IFERROR(__xludf.DUMMYFUNCTION("F26*GOOGLEFINANCE(""CURRENCY:USDINR"")"),755.9240000000001)</f>
        <v>755.924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2241</v>
      </c>
      <c r="C29" s="21" t="s">
        <v>76</v>
      </c>
      <c r="D29" s="21" t="s">
        <v>120</v>
      </c>
      <c r="E29" s="21" t="s">
        <v>120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2242</v>
      </c>
      <c r="C30" s="25" t="s">
        <v>76</v>
      </c>
      <c r="D30" s="25" t="s">
        <v>120</v>
      </c>
      <c r="E30" s="25" t="s">
        <v>120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2243</v>
      </c>
      <c r="C31" s="25" t="s">
        <v>76</v>
      </c>
      <c r="D31" s="25" t="s">
        <v>120</v>
      </c>
      <c r="E31" s="25" t="s">
        <v>120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2244</v>
      </c>
      <c r="C32" s="37" t="s">
        <v>76</v>
      </c>
      <c r="D32" s="37" t="s">
        <v>120</v>
      </c>
      <c r="E32" s="37" t="s">
        <v>120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2250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2251</v>
      </c>
    </row>
    <row r="4" ht="14.25" customHeight="1">
      <c r="A4" s="9" t="s">
        <v>19</v>
      </c>
      <c r="B4" s="8" t="s">
        <v>2227</v>
      </c>
    </row>
    <row r="5" ht="14.25" customHeight="1">
      <c r="A5" s="7" t="s">
        <v>24</v>
      </c>
      <c r="B5" s="8" t="s">
        <v>2229</v>
      </c>
    </row>
    <row r="6" ht="14.25" customHeight="1">
      <c r="A6" s="9" t="s">
        <v>2230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5">
        <v>150.0</v>
      </c>
      <c r="G10" s="186">
        <f>IFERROR(__xludf.DUMMYFUNCTION("F10*GOOGLEFINANCE(""CURRENCY:USDINR"")"),14173.575000000003)</f>
        <v>14173.575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5">
        <v>110.0</v>
      </c>
      <c r="G11" s="186">
        <f>IFERROR(__xludf.DUMMYFUNCTION("F11*GOOGLEFINANCE(""CURRENCY:USDINR"")"),10393.955000000002)</f>
        <v>10393.955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5">
        <v>220.0</v>
      </c>
      <c r="G12" s="186">
        <f>IFERROR(__xludf.DUMMYFUNCTION("F12*GOOGLEFINANCE(""CURRENCY:USDINR"")"),20787.910000000003)</f>
        <v>20787.91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5">
        <v>160.0</v>
      </c>
      <c r="G13" s="186">
        <f>IFERROR(__xludf.DUMMYFUNCTION("F13*GOOGLEFINANCE(""CURRENCY:USDINR"")"),15118.480000000001)</f>
        <v>15118.48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5">
        <v>350.0</v>
      </c>
      <c r="G14" s="186">
        <f>IFERROR(__xludf.DUMMYFUNCTION("F14*GOOGLEFINANCE(""CURRENCY:USDINR"")"),33071.675)</f>
        <v>33071.675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5">
        <v>250.0</v>
      </c>
      <c r="G15" s="186">
        <f>IFERROR(__xludf.DUMMYFUNCTION("F15*GOOGLEFINANCE(""CURRENCY:USDINR"")"),23622.625000000004)</f>
        <v>23622.625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5">
        <v>350.0</v>
      </c>
      <c r="G16" s="186">
        <f>IFERROR(__xludf.DUMMYFUNCTION("F16*GOOGLEFINANCE(""CURRENCY:USDINR"")"),33071.675)</f>
        <v>33071.675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5">
        <v>250.0</v>
      </c>
      <c r="G17" s="186">
        <f>IFERROR(__xludf.DUMMYFUNCTION("F17*GOOGLEFINANCE(""CURRENCY:USDINR"")"),23622.625000000004)</f>
        <v>23622.625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5">
        <v>70.0</v>
      </c>
      <c r="G18" s="186">
        <f>IFERROR(__xludf.DUMMYFUNCTION("F18*GOOGLEFINANCE(""CURRENCY:USDINR"")"),6614.335000000001)</f>
        <v>6614.335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5">
        <v>70.0</v>
      </c>
      <c r="G19" s="186">
        <f>IFERROR(__xludf.DUMMYFUNCTION("F19*GOOGLEFINANCE(""CURRENCY:USDINR"")"),6614.335000000001)</f>
        <v>6614.335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5">
        <v>60.0</v>
      </c>
      <c r="G20" s="186">
        <f>IFERROR(__xludf.DUMMYFUNCTION("F20*GOOGLEFINANCE(""CURRENCY:USDINR"")"),5669.43)</f>
        <v>5669.43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5">
        <v>250.0</v>
      </c>
      <c r="G21" s="186">
        <f>IFERROR(__xludf.DUMMYFUNCTION("F21*GOOGLEFINANCE(""CURRENCY:USDINR"")"),23622.625000000004)</f>
        <v>23622.625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5">
        <v>35.0</v>
      </c>
      <c r="G22" s="186">
        <f>IFERROR(__xludf.DUMMYFUNCTION("F22*GOOGLEFINANCE(""CURRENCY:USDINR"")"),3307.1675000000005)</f>
        <v>3307.1675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5">
        <v>30.0</v>
      </c>
      <c r="G23" s="186">
        <f>IFERROR(__xludf.DUMMYFUNCTION("F23*GOOGLEFINANCE(""CURRENCY:USDINR"")"),2834.715)</f>
        <v>2834.715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5">
        <v>50.0</v>
      </c>
      <c r="G24" s="186">
        <f>IFERROR(__xludf.DUMMYFUNCTION("F24*GOOGLEFINANCE(""CURRENCY:USDINR"")"),4724.525000000001)</f>
        <v>4724.525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5">
        <v>15.0</v>
      </c>
      <c r="G25" s="186">
        <f>IFERROR(__xludf.DUMMYFUNCTION("F25*GOOGLEFINANCE(""CURRENCY:USDINR"")"),1417.3575)</f>
        <v>1417.3575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5">
        <v>8.0</v>
      </c>
      <c r="G26" s="186">
        <f>IFERROR(__xludf.DUMMYFUNCTION("F26*GOOGLEFINANCE(""CURRENCY:USDINR"")"),755.9240000000001)</f>
        <v>755.924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2257</v>
      </c>
      <c r="C29" s="21" t="s">
        <v>76</v>
      </c>
      <c r="D29" s="21" t="s">
        <v>120</v>
      </c>
      <c r="E29" s="21" t="s">
        <v>120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2258</v>
      </c>
      <c r="C30" s="25" t="s">
        <v>76</v>
      </c>
      <c r="D30" s="25" t="s">
        <v>120</v>
      </c>
      <c r="E30" s="25" t="s">
        <v>120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2259</v>
      </c>
      <c r="C31" s="25" t="s">
        <v>76</v>
      </c>
      <c r="D31" s="25" t="s">
        <v>120</v>
      </c>
      <c r="E31" s="25" t="s">
        <v>120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37" t="s">
        <v>74</v>
      </c>
      <c r="B32" s="29" t="s">
        <v>2260</v>
      </c>
      <c r="C32" s="37" t="s">
        <v>76</v>
      </c>
      <c r="D32" s="37" t="s">
        <v>120</v>
      </c>
      <c r="E32" s="37" t="s">
        <v>120</v>
      </c>
      <c r="F32" s="50"/>
      <c r="G32" s="37"/>
      <c r="H32" s="37"/>
      <c r="I32" s="37" t="s">
        <v>78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2252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2253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2263</v>
      </c>
      <c r="C29" s="21" t="s">
        <v>76</v>
      </c>
      <c r="D29" s="188">
        <v>25.0</v>
      </c>
      <c r="E29" s="105">
        <f>IFERROR(__xludf.DUMMYFUNCTION("IF(ISNUMBER(D29), ROUND(D29 * GOOGLEFINANCE(""CURRENCY:EURINR""), 2), """")"),2743.43)</f>
        <v>2743.43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2264</v>
      </c>
      <c r="C30" s="25" t="s">
        <v>76</v>
      </c>
      <c r="D30" s="189">
        <v>26.0</v>
      </c>
      <c r="E30" s="106">
        <f>IFERROR(__xludf.DUMMYFUNCTION("IF(ISNUMBER(D30), ROUND(D30 * GOOGLEFINANCE(""CURRENCY:EURINR""), 2), """")"),2853.16)</f>
        <v>2853.16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2265</v>
      </c>
      <c r="C31" s="25" t="s">
        <v>76</v>
      </c>
      <c r="D31" s="189">
        <v>0.0</v>
      </c>
      <c r="E31" s="106">
        <f>IFERROR(__xludf.DUMMYFUNCTION("IF(ISNUMBER(D31), ROUND(D31 * GOOGLEFINANCE(""CURRENCY:EURINR""),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2266</v>
      </c>
      <c r="C32" s="25" t="s">
        <v>76</v>
      </c>
      <c r="D32" s="189">
        <v>0.0</v>
      </c>
      <c r="E32" s="106">
        <f>IFERROR(__xludf.DUMMYFUNCTION("IF(ISNUMBER(D32), ROUND(D32 * GOOGLEFINANCE(""CURRENCY:EURINR""),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2267</v>
      </c>
      <c r="C33" s="25" t="s">
        <v>76</v>
      </c>
      <c r="D33" s="189">
        <v>0.0</v>
      </c>
      <c r="E33" s="106">
        <f>IFERROR(__xludf.DUMMYFUNCTION("IF(ISNUMBER(D33), ROUND(D33 * GOOGLEFINANCE(""CURRENCY:EURINR""),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2268</v>
      </c>
      <c r="C34" s="25" t="s">
        <v>76</v>
      </c>
      <c r="D34" s="189">
        <v>0.0</v>
      </c>
      <c r="E34" s="106">
        <f>IFERROR(__xludf.DUMMYFUNCTION("IF(ISNUMBER(D34), ROUND(D34 * GOOGLEFINANCE(""CURRENCY:EURINR""),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2269</v>
      </c>
      <c r="C35" s="25" t="s">
        <v>76</v>
      </c>
      <c r="D35" s="189">
        <v>0.0</v>
      </c>
      <c r="E35" s="106">
        <f>IFERROR(__xludf.DUMMYFUNCTION("IF(ISNUMBER(D35), ROUND(D35 * GOOGLEFINANCE(""CURRENCY:EURINR""),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2270</v>
      </c>
      <c r="C36" s="25" t="s">
        <v>76</v>
      </c>
      <c r="D36" s="189">
        <v>25.0</v>
      </c>
      <c r="E36" s="106">
        <f>IFERROR(__xludf.DUMMYFUNCTION("IF(ISNUMBER(D36), ROUND(D36 * GOOGLEFINANCE(""CURRENCY:EURINR""), 2), """")"),2743.43)</f>
        <v>2743.43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2272</v>
      </c>
      <c r="C37" s="25" t="s">
        <v>76</v>
      </c>
      <c r="D37" s="189">
        <v>0.0</v>
      </c>
      <c r="E37" s="106">
        <f>IFERROR(__xludf.DUMMYFUNCTION("IF(ISNUMBER(D37), ROUND(D37 * GOOGLEFINANCE(""CURRENCY:EURINR""),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2273</v>
      </c>
      <c r="C38" s="25" t="s">
        <v>76</v>
      </c>
      <c r="D38" s="189">
        <v>0.0</v>
      </c>
      <c r="E38" s="106">
        <f>IFERROR(__xludf.DUMMYFUNCTION("IF(ISNUMBER(D38), ROUND(D38 * GOOGLEFINANCE(""CURRENCY:EURINR""),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2274</v>
      </c>
      <c r="C39" s="25" t="s">
        <v>76</v>
      </c>
      <c r="D39" s="189">
        <v>32.0</v>
      </c>
      <c r="E39" s="106">
        <f>IFERROR(__xludf.DUMMYFUNCTION("IF(ISNUMBER(D39), ROUND(D39 * GOOGLEFINANCE(""CURRENCY:EURINR""), 2), """")"),3511.58)</f>
        <v>3511.58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2276</v>
      </c>
      <c r="C40" s="37" t="s">
        <v>76</v>
      </c>
      <c r="D40" s="190">
        <v>0.0</v>
      </c>
      <c r="E40" s="107">
        <f>IFERROR(__xludf.DUMMYFUNCTION("IF(ISNUMBER(D40), ROUND(D40 * GOOGLEFINANCE(""CURRENCY:EURINR""), 2), """")"),0.0)</f>
        <v>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B41" s="48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2261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2262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2275</v>
      </c>
      <c r="C29" s="21" t="s">
        <v>76</v>
      </c>
      <c r="D29" s="130">
        <v>2.0</v>
      </c>
      <c r="E29" s="169">
        <f>IFERROR(__xludf.DUMMYFUNCTION("IF(ISNUMBER(D29), ROUND(D29 * GOOGLEFINANCE(""CURRENCY:EURINR""), 2), """")"),219.47)</f>
        <v>219.47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2277</v>
      </c>
      <c r="C30" s="25" t="s">
        <v>76</v>
      </c>
      <c r="D30" s="131">
        <v>2.0</v>
      </c>
      <c r="E30" s="171">
        <f>IFERROR(__xludf.DUMMYFUNCTION("IF(ISNUMBER(D30), ROUND(D30 * GOOGLEFINANCE(""CURRENCY:EURINR""), 2), """")"),219.47)</f>
        <v>219.47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2278</v>
      </c>
      <c r="C31" s="25" t="s">
        <v>76</v>
      </c>
      <c r="D31" s="131">
        <v>2.0</v>
      </c>
      <c r="E31" s="171">
        <f>IFERROR(__xludf.DUMMYFUNCTION("IF(ISNUMBER(D31), ROUND(D31 * GOOGLEFINANCE(""CURRENCY:EURINR""), 2), """")"),219.47)</f>
        <v>219.47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2279</v>
      </c>
      <c r="C32" s="25" t="s">
        <v>76</v>
      </c>
      <c r="D32" s="131">
        <v>2.0</v>
      </c>
      <c r="E32" s="171">
        <f>IFERROR(__xludf.DUMMYFUNCTION("IF(ISNUMBER(D32), ROUND(D32 * GOOGLEFINANCE(""CURRENCY:EURINR""), 2), """")"),219.47)</f>
        <v>219.47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2280</v>
      </c>
      <c r="C33" s="25" t="s">
        <v>76</v>
      </c>
      <c r="D33" s="131">
        <v>2.0</v>
      </c>
      <c r="E33" s="171">
        <f>IFERROR(__xludf.DUMMYFUNCTION("IF(ISNUMBER(D33), ROUND(D33 * GOOGLEFINANCE(""CURRENCY:EURINR""), 2), """")"),219.47)</f>
        <v>219.47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2281</v>
      </c>
      <c r="C34" s="25" t="s">
        <v>76</v>
      </c>
      <c r="D34" s="131">
        <v>2.0</v>
      </c>
      <c r="E34" s="171">
        <f>IFERROR(__xludf.DUMMYFUNCTION("IF(ISNUMBER(D34), ROUND(D34 * GOOGLEFINANCE(""CURRENCY:EURINR""), 2), """")"),219.47)</f>
        <v>219.47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2282</v>
      </c>
      <c r="C35" s="25" t="s">
        <v>76</v>
      </c>
      <c r="D35" s="131">
        <v>2.0</v>
      </c>
      <c r="E35" s="171">
        <f>IFERROR(__xludf.DUMMYFUNCTION("IF(ISNUMBER(D35), ROUND(D35 * GOOGLEFINANCE(""CURRENCY:EURINR""), 2), """")"),219.47)</f>
        <v>219.47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2283</v>
      </c>
      <c r="C36" s="25" t="s">
        <v>76</v>
      </c>
      <c r="D36" s="131">
        <v>2.0</v>
      </c>
      <c r="E36" s="171">
        <f>IFERROR(__xludf.DUMMYFUNCTION("IF(ISNUMBER(D36), ROUND(D36 * GOOGLEFINANCE(""CURRENCY:EURINR""), 2), """")"),219.47)</f>
        <v>219.47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2284</v>
      </c>
      <c r="C37" s="25" t="s">
        <v>76</v>
      </c>
      <c r="D37" s="131">
        <v>2.0</v>
      </c>
      <c r="E37" s="171">
        <f>IFERROR(__xludf.DUMMYFUNCTION("IF(ISNUMBER(D37), ROUND(D37 * GOOGLEFINANCE(""CURRENCY:EURINR""), 2), """")"),219.47)</f>
        <v>219.47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2285</v>
      </c>
      <c r="C38" s="25" t="s">
        <v>76</v>
      </c>
      <c r="D38" s="131">
        <v>2.0</v>
      </c>
      <c r="E38" s="171">
        <f>IFERROR(__xludf.DUMMYFUNCTION("IF(ISNUMBER(D38), ROUND(D38 * GOOGLEFINANCE(""CURRENCY:EURINR""), 2), """")"),219.47)</f>
        <v>219.47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2286</v>
      </c>
      <c r="C39" s="25" t="s">
        <v>76</v>
      </c>
      <c r="D39" s="131">
        <v>2.0</v>
      </c>
      <c r="E39" s="171">
        <f>IFERROR(__xludf.DUMMYFUNCTION("IF(ISNUMBER(D39), ROUND(D39 * GOOGLEFINANCE(""CURRENCY:EURINR""), 2), """")"),219.47)</f>
        <v>219.47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2287</v>
      </c>
      <c r="C40" s="37" t="s">
        <v>76</v>
      </c>
      <c r="D40" s="133">
        <v>2.0</v>
      </c>
      <c r="E40" s="184">
        <f>IFERROR(__xludf.DUMMYFUNCTION("IF(ISNUMBER(D40), ROUND(D40 * GOOGLEFINANCE(""CURRENCY:EURINR""), 2), """")"),219.47)</f>
        <v>219.47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2271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10" t="s">
        <v>2074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2290</v>
      </c>
      <c r="C29" s="21" t="s">
        <v>76</v>
      </c>
      <c r="D29" s="130">
        <v>0.0</v>
      </c>
      <c r="E29" s="172">
        <f>IFERROR(__xludf.DUMMYFUNCTION("IF(ISNUMBER(D29), ROUND(D29 * GOOGLEFINANCE(""CURRENCY:EURINR""),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2291</v>
      </c>
      <c r="C30" s="25" t="s">
        <v>76</v>
      </c>
      <c r="D30" s="131">
        <v>0.0</v>
      </c>
      <c r="E30" s="173">
        <f>IFERROR(__xludf.DUMMYFUNCTION("IF(ISNUMBER(D30), ROUND(D30 * GOOGLEFINANCE(""CURRENCY:EURINR""),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2292</v>
      </c>
      <c r="C31" s="25" t="s">
        <v>76</v>
      </c>
      <c r="D31" s="131">
        <v>0.0</v>
      </c>
      <c r="E31" s="173">
        <f>IFERROR(__xludf.DUMMYFUNCTION("IF(ISNUMBER(D31), ROUND(D31 * GOOGLEFINANCE(""CURRENCY:EURINR""),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2293</v>
      </c>
      <c r="C32" s="25" t="s">
        <v>76</v>
      </c>
      <c r="D32" s="131">
        <v>0.0</v>
      </c>
      <c r="E32" s="173">
        <f>IFERROR(__xludf.DUMMYFUNCTION("IF(ISNUMBER(D32), ROUND(D32 * GOOGLEFINANCE(""CURRENCY:EURINR""),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2294</v>
      </c>
      <c r="C33" s="25" t="s">
        <v>76</v>
      </c>
      <c r="D33" s="131">
        <v>0.0</v>
      </c>
      <c r="E33" s="173">
        <f>IFERROR(__xludf.DUMMYFUNCTION("IF(ISNUMBER(D33), ROUND(D33 * GOOGLEFINANCE(""CURRENCY:EURINR""),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2295</v>
      </c>
      <c r="C34" s="25" t="s">
        <v>76</v>
      </c>
      <c r="D34" s="131">
        <v>0.0</v>
      </c>
      <c r="E34" s="173">
        <f>IFERROR(__xludf.DUMMYFUNCTION("IF(ISNUMBER(D34), ROUND(D34 * GOOGLEFINANCE(""CURRENCY:EURINR""),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2297</v>
      </c>
      <c r="C35" s="25" t="s">
        <v>76</v>
      </c>
      <c r="D35" s="131">
        <v>0.0</v>
      </c>
      <c r="E35" s="173">
        <f>IFERROR(__xludf.DUMMYFUNCTION("IF(ISNUMBER(D35), ROUND(D35 * GOOGLEFINANCE(""CURRENCY:EURINR""),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2298</v>
      </c>
      <c r="C36" s="25" t="s">
        <v>76</v>
      </c>
      <c r="D36" s="131">
        <v>0.0</v>
      </c>
      <c r="E36" s="173">
        <f>IFERROR(__xludf.DUMMYFUNCTION("IF(ISNUMBER(D36), ROUND(D36 * GOOGLEFINANCE(""CURRENCY:EURINR""),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2300</v>
      </c>
      <c r="C37" s="25" t="s">
        <v>76</v>
      </c>
      <c r="D37" s="131">
        <v>0.0</v>
      </c>
      <c r="E37" s="173">
        <f>IFERROR(__xludf.DUMMYFUNCTION("IF(ISNUMBER(D37), ROUND(D37 * GOOGLEFINANCE(""CURRENCY:EURINR""),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2301</v>
      </c>
      <c r="C38" s="25" t="s">
        <v>76</v>
      </c>
      <c r="D38" s="131">
        <v>0.0</v>
      </c>
      <c r="E38" s="173">
        <f>IFERROR(__xludf.DUMMYFUNCTION("IF(ISNUMBER(D38), ROUND(D38 * GOOGLEFINANCE(""CURRENCY:EURINR""),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2303</v>
      </c>
      <c r="C39" s="25" t="s">
        <v>76</v>
      </c>
      <c r="D39" s="131">
        <v>0.0</v>
      </c>
      <c r="E39" s="173">
        <f>IFERROR(__xludf.DUMMYFUNCTION("IF(ISNUMBER(D39), ROUND(D39 * GOOGLEFINANCE(""CURRENCY:EURINR""),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2311</v>
      </c>
      <c r="C40" s="25" t="s">
        <v>76</v>
      </c>
      <c r="D40" s="131">
        <v>0.0</v>
      </c>
      <c r="E40" s="173">
        <f>IFERROR(__xludf.DUMMYFUNCTION("IF(ISNUMBER(D40), ROUND(D40 * GOOGLEFINANCE(""CURRENCY:EURINR""), 2), """")"),0.0)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2313</v>
      </c>
      <c r="C41" s="25" t="s">
        <v>76</v>
      </c>
      <c r="D41" s="131">
        <v>0.0</v>
      </c>
      <c r="E41" s="173">
        <f>IFERROR(__xludf.DUMMYFUNCTION("IF(ISNUMBER(D41), ROUND(D41 * GOOGLEFINANCE(""CURRENCY:EURINR""), 2), """")"),0.0)</f>
        <v>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2315</v>
      </c>
      <c r="C42" s="25" t="s">
        <v>76</v>
      </c>
      <c r="D42" s="131">
        <v>0.0</v>
      </c>
      <c r="E42" s="173">
        <f>IFERROR(__xludf.DUMMYFUNCTION("IF(ISNUMBER(D42), ROUND(D42 * GOOGLEFINANCE(""CURRENCY:EURINR""), 2), """")"),0.0)</f>
        <v>0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2316</v>
      </c>
      <c r="C43" s="25" t="s">
        <v>76</v>
      </c>
      <c r="D43" s="131">
        <v>0.0</v>
      </c>
      <c r="E43" s="173">
        <f>IFERROR(__xludf.DUMMYFUNCTION("IF(ISNUMBER(D43), ROUND(D43 * GOOGLEFINANCE(""CURRENCY:EURINR""), 2), """")"),0.0)</f>
        <v>0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9" t="s">
        <v>2317</v>
      </c>
      <c r="C44" s="25" t="s">
        <v>76</v>
      </c>
      <c r="D44" s="131">
        <v>0.0</v>
      </c>
      <c r="E44" s="173">
        <f>IFERROR(__xludf.DUMMYFUNCTION("IF(ISNUMBER(D44), ROUND(D44 * GOOGLEFINANCE(""CURRENCY:EURINR""), 2), """")"),0.0)</f>
        <v>0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2288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2289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2296</v>
      </c>
      <c r="C29" s="21" t="s">
        <v>76</v>
      </c>
      <c r="D29" s="130">
        <v>30.0</v>
      </c>
      <c r="E29" s="172">
        <f>IFERROR(__xludf.DUMMYFUNCTION("IF(ISNUMBER(D29), ROUND(D29 * GOOGLEFINANCE(""CURRENCY:EURINR""), 2), """")"),3292.11)</f>
        <v>3292.11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2299</v>
      </c>
      <c r="C30" s="25" t="s">
        <v>76</v>
      </c>
      <c r="D30" s="131">
        <v>0.0</v>
      </c>
      <c r="E30" s="173">
        <f>IFERROR(__xludf.DUMMYFUNCTION("IF(ISNUMBER(D30), ROUND(D30 * GOOGLEFINANCE(""CURRENCY:EURINR""),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2302</v>
      </c>
      <c r="C31" s="25" t="s">
        <v>76</v>
      </c>
      <c r="D31" s="131">
        <v>0.0</v>
      </c>
      <c r="E31" s="173">
        <f>IFERROR(__xludf.DUMMYFUNCTION("IF(ISNUMBER(D31), ROUND(D31 * GOOGLEFINANCE(""CURRENCY:EURINR""),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2304</v>
      </c>
      <c r="C32" s="25" t="s">
        <v>76</v>
      </c>
      <c r="D32" s="131">
        <v>0.0</v>
      </c>
      <c r="E32" s="173">
        <f>IFERROR(__xludf.DUMMYFUNCTION("IF(ISNUMBER(D32), ROUND(D32 * GOOGLEFINANCE(""CURRENCY:EURINR""),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2305</v>
      </c>
      <c r="C33" s="25" t="s">
        <v>76</v>
      </c>
      <c r="D33" s="131">
        <v>0.0</v>
      </c>
      <c r="E33" s="173">
        <f>IFERROR(__xludf.DUMMYFUNCTION("IF(ISNUMBER(D33), ROUND(D33 * GOOGLEFINANCE(""CURRENCY:EURINR""),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2306</v>
      </c>
      <c r="C34" s="25" t="s">
        <v>76</v>
      </c>
      <c r="D34" s="131">
        <v>0.0</v>
      </c>
      <c r="E34" s="173">
        <f>IFERROR(__xludf.DUMMYFUNCTION("IF(ISNUMBER(D34), ROUND(D34 * GOOGLEFINANCE(""CURRENCY:EURINR""),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2307</v>
      </c>
      <c r="C35" s="25" t="s">
        <v>76</v>
      </c>
      <c r="D35" s="131">
        <v>0.0</v>
      </c>
      <c r="E35" s="173">
        <f>IFERROR(__xludf.DUMMYFUNCTION("IF(ISNUMBER(D35), ROUND(D35 * GOOGLEFINANCE(""CURRENCY:EURINR""),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2308</v>
      </c>
      <c r="C36" s="25" t="s">
        <v>76</v>
      </c>
      <c r="D36" s="131">
        <v>0.0</v>
      </c>
      <c r="E36" s="173">
        <f>IFERROR(__xludf.DUMMYFUNCTION("IF(ISNUMBER(D36), ROUND(D36 * GOOGLEFINANCE(""CURRENCY:EURINR""),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2309</v>
      </c>
      <c r="C37" s="25" t="s">
        <v>76</v>
      </c>
      <c r="D37" s="131">
        <v>0.0</v>
      </c>
      <c r="E37" s="173">
        <f>IFERROR(__xludf.DUMMYFUNCTION("IF(ISNUMBER(D37), ROUND(D37 * GOOGLEFINANCE(""CURRENCY:EURINR""),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2310</v>
      </c>
      <c r="C38" s="25" t="s">
        <v>76</v>
      </c>
      <c r="D38" s="131">
        <v>0.0</v>
      </c>
      <c r="E38" s="173">
        <f>IFERROR(__xludf.DUMMYFUNCTION("IF(ISNUMBER(D38), ROUND(D38 * GOOGLEFINANCE(""CURRENCY:EURINR""),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2312</v>
      </c>
      <c r="C39" s="25" t="s">
        <v>76</v>
      </c>
      <c r="D39" s="131">
        <v>0.0</v>
      </c>
      <c r="E39" s="173">
        <f>IFERROR(__xludf.DUMMYFUNCTION("IF(ISNUMBER(D39), ROUND(D39 * GOOGLEFINANCE(""CURRENCY:EURINR""),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2314</v>
      </c>
      <c r="C40" s="37" t="s">
        <v>76</v>
      </c>
      <c r="D40" s="133">
        <v>0.0</v>
      </c>
      <c r="E40" s="174">
        <f>IFERROR(__xludf.DUMMYFUNCTION("IF(ISNUMBER(D40), ROUND(D40 * GOOGLEFINANCE(""CURRENCY:EURINR""), 2), """")"),0.0)</f>
        <v>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B41" s="48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2322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2323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2351</v>
      </c>
      <c r="C29" s="21" t="s">
        <v>76</v>
      </c>
      <c r="D29" s="130">
        <v>18.0</v>
      </c>
      <c r="E29" s="172">
        <f>IFERROR(__xludf.DUMMYFUNCTION("IF(ISNUMBER(D29), ROUND(D29 * GOOGLEFINANCE(""CURRENCY:EURINR""), 2), """")"),1975.27)</f>
        <v>1975.27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2352</v>
      </c>
      <c r="C30" s="25" t="s">
        <v>76</v>
      </c>
      <c r="D30" s="131">
        <v>20.0</v>
      </c>
      <c r="E30" s="173">
        <f>IFERROR(__xludf.DUMMYFUNCTION("IF(ISNUMBER(D30), ROUND(D30 * GOOGLEFINANCE(""CURRENCY:EURINR""), 2), """")"),2194.74)</f>
        <v>2194.74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2353</v>
      </c>
      <c r="C31" s="25" t="s">
        <v>76</v>
      </c>
      <c r="D31" s="131">
        <v>5.0</v>
      </c>
      <c r="E31" s="173">
        <f>IFERROR(__xludf.DUMMYFUNCTION("IF(ISNUMBER(D31), ROUND(D31 * GOOGLEFINANCE(""CURRENCY:EURINR""), 2), """")"),548.69)</f>
        <v>548.69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2354</v>
      </c>
      <c r="C32" s="25" t="s">
        <v>76</v>
      </c>
      <c r="D32" s="131">
        <v>0.0</v>
      </c>
      <c r="E32" s="173">
        <f>IFERROR(__xludf.DUMMYFUNCTION("IF(ISNUMBER(D32), ROUND(D32 * GOOGLEFINANCE(""CURRENCY:EURINR""),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2355</v>
      </c>
      <c r="C33" s="25" t="s">
        <v>76</v>
      </c>
      <c r="D33" s="131">
        <v>0.0</v>
      </c>
      <c r="E33" s="173">
        <f>IFERROR(__xludf.DUMMYFUNCTION("IF(ISNUMBER(D33), ROUND(D33 * GOOGLEFINANCE(""CURRENCY:EURINR""),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2356</v>
      </c>
      <c r="C34" s="25" t="s">
        <v>76</v>
      </c>
      <c r="D34" s="131">
        <v>0.0</v>
      </c>
      <c r="E34" s="173">
        <f>IFERROR(__xludf.DUMMYFUNCTION("IF(ISNUMBER(D34), ROUND(D34 * GOOGLEFINANCE(""CURRENCY:EURINR""),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2357</v>
      </c>
      <c r="C35" s="25" t="s">
        <v>76</v>
      </c>
      <c r="D35" s="131">
        <v>0.0</v>
      </c>
      <c r="E35" s="173">
        <f>IFERROR(__xludf.DUMMYFUNCTION("IF(ISNUMBER(D35), ROUND(D35 * GOOGLEFINANCE(""CURRENCY:EURINR""),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2358</v>
      </c>
      <c r="C36" s="25" t="s">
        <v>76</v>
      </c>
      <c r="D36" s="131">
        <v>0.0</v>
      </c>
      <c r="E36" s="173">
        <f>IFERROR(__xludf.DUMMYFUNCTION("IF(ISNUMBER(D36), ROUND(D36 * GOOGLEFINANCE(""CURRENCY:EURINR""),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2359</v>
      </c>
      <c r="C37" s="25" t="s">
        <v>76</v>
      </c>
      <c r="D37" s="131">
        <v>0.0</v>
      </c>
      <c r="E37" s="173">
        <f>IFERROR(__xludf.DUMMYFUNCTION("IF(ISNUMBER(D37), ROUND(D37 * GOOGLEFINANCE(""CURRENCY:EURINR""),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2360</v>
      </c>
      <c r="C38" s="25" t="s">
        <v>76</v>
      </c>
      <c r="D38" s="131">
        <v>0.0</v>
      </c>
      <c r="E38" s="173">
        <f>IFERROR(__xludf.DUMMYFUNCTION("IF(ISNUMBER(D38), ROUND(D38 * GOOGLEFINANCE(""CURRENCY:EURINR""),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2361</v>
      </c>
      <c r="C39" s="25" t="s">
        <v>76</v>
      </c>
      <c r="D39" s="131">
        <v>30.0</v>
      </c>
      <c r="E39" s="173">
        <f>IFERROR(__xludf.DUMMYFUNCTION("IF(ISNUMBER(D39), ROUND(D39 * GOOGLEFINANCE(""CURRENCY:EURINR""), 2), """")"),3292.11)</f>
        <v>3292.11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2363</v>
      </c>
      <c r="C40" s="37" t="s">
        <v>76</v>
      </c>
      <c r="D40" s="133">
        <v>0.0</v>
      </c>
      <c r="E40" s="174">
        <f>IFERROR(__xludf.DUMMYFUNCTION("IF(ISNUMBER(D40), ROUND(D40 * GOOGLEFINANCE(""CURRENCY:EURINR""), 2), """")"),0.0)</f>
        <v>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46.43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2318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2319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2324</v>
      </c>
      <c r="C29" s="4" t="s">
        <v>76</v>
      </c>
      <c r="D29" s="187">
        <v>0.0</v>
      </c>
      <c r="E29" s="127">
        <f>IFERROR(__xludf.DUMMYFUNCTION("IF(ISNUMBER(D29), ROUND(D29 * GOOGLEFINANCE(""CURRENCY:EURINR""), 2), """")"),0.0)</f>
        <v>0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2325</v>
      </c>
      <c r="C30" s="4" t="s">
        <v>76</v>
      </c>
      <c r="D30" s="187">
        <v>0.0</v>
      </c>
      <c r="E30" s="127">
        <f>IFERROR(__xludf.DUMMYFUNCTION("IF(ISNUMBER(D30), ROUND(D30 * GOOGLEFINANCE(""CURRENCY:EURINR""), 2), """")"),0.0)</f>
        <v>0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2326</v>
      </c>
      <c r="C31" s="4" t="s">
        <v>76</v>
      </c>
      <c r="D31" s="187">
        <v>0.0</v>
      </c>
      <c r="E31" s="127">
        <f>IFERROR(__xludf.DUMMYFUNCTION("IF(ISNUMBER(D31), ROUND(D31 * GOOGLEFINANCE(""CURRENCY:EURINR""), 2), """")"),0.0)</f>
        <v>0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2328</v>
      </c>
      <c r="C32" s="4" t="s">
        <v>76</v>
      </c>
      <c r="D32" s="187">
        <v>0.0</v>
      </c>
      <c r="E32" s="127">
        <f>IFERROR(__xludf.DUMMYFUNCTION("IF(ISNUMBER(D32), ROUND(D32 * GOOGLEFINANCE(""CURRENCY:EURINR""), 2), """")"),0.0)</f>
        <v>0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2329</v>
      </c>
      <c r="C33" s="4" t="s">
        <v>76</v>
      </c>
      <c r="D33" s="187">
        <v>0.0</v>
      </c>
      <c r="E33" s="127">
        <f>IFERROR(__xludf.DUMMYFUNCTION("IF(ISNUMBER(D33), ROUND(D33 * GOOGLEFINANCE(""CURRENCY:EURINR""), 2), """")"),0.0)</f>
        <v>0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2331</v>
      </c>
      <c r="C34" s="4" t="s">
        <v>76</v>
      </c>
      <c r="D34" s="187">
        <v>0.0</v>
      </c>
      <c r="E34" s="127">
        <f>IFERROR(__xludf.DUMMYFUNCTION("IF(ISNUMBER(D34), ROUND(D34 * GOOGLEFINANCE(""CURRENCY:EURINR""), 2), """")"),0.0)</f>
        <v>0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2333</v>
      </c>
      <c r="D35" s="191">
        <v>0.0</v>
      </c>
      <c r="E35" s="176">
        <f>IFERROR(__xludf.DUMMYFUNCTION("IF(ISNUMBER(D35), ROUND(D35 * GOOGLEFINANCE(""CURRENCY:EURINR""), 2), """")"),0.0)</f>
        <v>0</v>
      </c>
    </row>
    <row r="36" ht="14.25" customHeight="1">
      <c r="A36" s="4" t="s">
        <v>74</v>
      </c>
      <c r="B36" s="8" t="s">
        <v>2339</v>
      </c>
      <c r="D36" s="191">
        <v>0.0</v>
      </c>
      <c r="E36" s="176">
        <f>IFERROR(__xludf.DUMMYFUNCTION("IF(ISNUMBER(D36), ROUND(D36 * GOOGLEFINANCE(""CURRENCY:EURINR""), 2), """")"),0.0)</f>
        <v>0</v>
      </c>
    </row>
    <row r="37" ht="14.25" customHeight="1">
      <c r="A37" s="4" t="s">
        <v>74</v>
      </c>
      <c r="B37" s="8" t="s">
        <v>2341</v>
      </c>
      <c r="D37" s="191">
        <v>0.0</v>
      </c>
      <c r="E37" s="176">
        <f>IFERROR(__xludf.DUMMYFUNCTION("IF(ISNUMBER(D37), ROUND(D37 * GOOGLEFINANCE(""CURRENCY:EURINR""), 2), """")"),0.0)</f>
        <v>0</v>
      </c>
    </row>
    <row r="38" ht="14.25" customHeight="1">
      <c r="A38" s="4" t="s">
        <v>74</v>
      </c>
      <c r="B38" s="8" t="s">
        <v>2343</v>
      </c>
      <c r="D38" s="191">
        <v>0.0</v>
      </c>
      <c r="E38" s="176">
        <f>IFERROR(__xludf.DUMMYFUNCTION("IF(ISNUMBER(D38), ROUND(D38 * GOOGLEFINANCE(""CURRENCY:EURINR""), 2), """")"),0.0)</f>
        <v>0</v>
      </c>
    </row>
    <row r="39" ht="14.25" customHeight="1">
      <c r="A39" s="4" t="s">
        <v>74</v>
      </c>
      <c r="B39" s="8" t="s">
        <v>2345</v>
      </c>
      <c r="D39" s="191">
        <v>0.0</v>
      </c>
      <c r="E39" s="176">
        <f>IFERROR(__xludf.DUMMYFUNCTION("IF(ISNUMBER(D39), ROUND(D39 * GOOGLEFINANCE(""CURRENCY:EURINR""), 2), """")"),0.0)</f>
        <v>0</v>
      </c>
    </row>
    <row r="40" ht="14.25" customHeight="1">
      <c r="A40" s="4" t="s">
        <v>74</v>
      </c>
      <c r="B40" s="8" t="s">
        <v>2347</v>
      </c>
      <c r="D40" s="191">
        <v>0.0</v>
      </c>
      <c r="E40" s="176">
        <f>IFERROR(__xludf.DUMMYFUNCTION("IF(ISNUMBER(D40), ROUND(D40 * GOOGLEFINANCE(""CURRENCY:EURINR""), 2), """")"),0.0)</f>
        <v>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50.14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2320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2321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2327</v>
      </c>
      <c r="C29" s="4" t="s">
        <v>76</v>
      </c>
      <c r="D29" s="187">
        <v>0.0</v>
      </c>
      <c r="E29" s="127">
        <f>IFERROR(__xludf.DUMMYFUNCTION("IF(ISNUMBER(D29), ROUND(D29 * GOOGLEFINANCE(""CURRENCY:EURINR""), 2), """")"),0.0)</f>
        <v>0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2330</v>
      </c>
      <c r="C30" s="4" t="s">
        <v>76</v>
      </c>
      <c r="D30" s="187">
        <v>0.0</v>
      </c>
      <c r="E30" s="127">
        <f>IFERROR(__xludf.DUMMYFUNCTION("IF(ISNUMBER(D30), ROUND(D30 * GOOGLEFINANCE(""CURRENCY:EURINR""), 2), """")"),0.0)</f>
        <v>0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2332</v>
      </c>
      <c r="C31" s="4" t="s">
        <v>76</v>
      </c>
      <c r="D31" s="187">
        <v>17.5</v>
      </c>
      <c r="E31" s="127">
        <f>IFERROR(__xludf.DUMMYFUNCTION("IF(ISNUMBER(D31), ROUND(D31 * GOOGLEFINANCE(""CURRENCY:EURINR""), 2), """")"),1920.4)</f>
        <v>1920.4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2335</v>
      </c>
      <c r="C32" s="4" t="s">
        <v>76</v>
      </c>
      <c r="D32" s="187">
        <v>0.0</v>
      </c>
      <c r="E32" s="127">
        <f>IFERROR(__xludf.DUMMYFUNCTION("IF(ISNUMBER(D32), ROUND(D32 * GOOGLEFINANCE(""CURRENCY:EURINR""), 2), """")"),0.0)</f>
        <v>0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2336</v>
      </c>
      <c r="C33" s="4" t="s">
        <v>76</v>
      </c>
      <c r="D33" s="187">
        <v>0.0</v>
      </c>
      <c r="E33" s="127">
        <f>IFERROR(__xludf.DUMMYFUNCTION("IF(ISNUMBER(D33), ROUND(D33 * GOOGLEFINANCE(""CURRENCY:EURINR""), 2), """")"),0.0)</f>
        <v>0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2338</v>
      </c>
      <c r="C34" s="4" t="s">
        <v>76</v>
      </c>
      <c r="D34" s="187">
        <v>0.0</v>
      </c>
      <c r="E34" s="127">
        <f>IFERROR(__xludf.DUMMYFUNCTION("IF(ISNUMBER(D34), ROUND(D34 * GOOGLEFINANCE(""CURRENCY:EURINR""), 2), """")"),0.0)</f>
        <v>0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2340</v>
      </c>
      <c r="D35" s="191">
        <v>0.0</v>
      </c>
      <c r="E35" s="176">
        <f>IFERROR(__xludf.DUMMYFUNCTION("IF(ISNUMBER(D35), ROUND(D35 * GOOGLEFINANCE(""CURRENCY:EURINR""), 2), """")"),0.0)</f>
        <v>0</v>
      </c>
    </row>
    <row r="36" ht="14.25" customHeight="1">
      <c r="A36" s="4" t="s">
        <v>74</v>
      </c>
      <c r="B36" s="8" t="s">
        <v>2342</v>
      </c>
      <c r="D36" s="191">
        <v>0.0</v>
      </c>
      <c r="E36" s="176">
        <f>IFERROR(__xludf.DUMMYFUNCTION("IF(ISNUMBER(D36), ROUND(D36 * GOOGLEFINANCE(""CURRENCY:EURINR""), 2), """")"),0.0)</f>
        <v>0</v>
      </c>
    </row>
    <row r="37" ht="14.25" customHeight="1">
      <c r="A37" s="4" t="s">
        <v>74</v>
      </c>
      <c r="B37" s="8" t="s">
        <v>2344</v>
      </c>
      <c r="D37" s="191">
        <v>0.0</v>
      </c>
      <c r="E37" s="176">
        <f>IFERROR(__xludf.DUMMYFUNCTION("IF(ISNUMBER(D37), ROUND(D37 * GOOGLEFINANCE(""CURRENCY:EURINR""), 2), """")"),0.0)</f>
        <v>0</v>
      </c>
    </row>
    <row r="38" ht="14.25" customHeight="1">
      <c r="A38" s="4" t="s">
        <v>74</v>
      </c>
      <c r="B38" s="8" t="s">
        <v>2346</v>
      </c>
      <c r="D38" s="191">
        <v>0.0</v>
      </c>
      <c r="E38" s="176">
        <f>IFERROR(__xludf.DUMMYFUNCTION("IF(ISNUMBER(D38), ROUND(D38 * GOOGLEFINANCE(""CURRENCY:EURINR""), 2), """")"),0.0)</f>
        <v>0</v>
      </c>
    </row>
    <row r="39" ht="14.25" customHeight="1">
      <c r="A39" s="4" t="s">
        <v>74</v>
      </c>
      <c r="B39" s="8" t="s">
        <v>2348</v>
      </c>
      <c r="D39" s="191">
        <v>0.0</v>
      </c>
      <c r="E39" s="176">
        <f>IFERROR(__xludf.DUMMYFUNCTION("IF(ISNUMBER(D39), ROUND(D39 * GOOGLEFINANCE(""CURRENCY:EURINR""), 2), """")"),0.0)</f>
        <v>0</v>
      </c>
    </row>
    <row r="40" ht="14.25" customHeight="1">
      <c r="A40" s="4" t="s">
        <v>74</v>
      </c>
      <c r="B40" s="8" t="s">
        <v>2349</v>
      </c>
      <c r="D40" s="191">
        <v>0.0</v>
      </c>
      <c r="E40" s="176">
        <f>IFERROR(__xludf.DUMMYFUNCTION("IF(ISNUMBER(D40), ROUND(D40 * GOOGLEFINANCE(""CURRENCY:EURINR""), 2), """")"),0.0)</f>
        <v>0</v>
      </c>
    </row>
    <row r="41" ht="14.25" customHeight="1">
      <c r="A41" s="4" t="s">
        <v>74</v>
      </c>
      <c r="B41" s="8" t="s">
        <v>2350</v>
      </c>
      <c r="D41" s="191">
        <v>0.0</v>
      </c>
      <c r="E41" s="176">
        <f>IFERROR(__xludf.DUMMYFUNCTION("IF(ISNUMBER(D41), ROUND(D41 * GOOGLEFINANCE(""CURRENCY:EURINR""), 2), """")"),0.0)</f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53.43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2334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2337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53" t="s">
        <v>2362</v>
      </c>
      <c r="C29" s="21" t="s">
        <v>76</v>
      </c>
      <c r="D29" s="130">
        <v>0.0</v>
      </c>
      <c r="E29" s="172">
        <f>IFERROR(__xludf.DUMMYFUNCTION("IF(ISNUMBER(D29), ROUND(D29 * GOOGLEFINANCE(""CURRENCY:EURINR""),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55" t="s">
        <v>2364</v>
      </c>
      <c r="C30" s="25" t="s">
        <v>76</v>
      </c>
      <c r="D30" s="131">
        <v>0.0</v>
      </c>
      <c r="E30" s="173">
        <f>IFERROR(__xludf.DUMMYFUNCTION("IF(ISNUMBER(D30), ROUND(D30 * GOOGLEFINANCE(""CURRENCY:EURINR""),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55" t="s">
        <v>2365</v>
      </c>
      <c r="C31" s="25" t="s">
        <v>76</v>
      </c>
      <c r="D31" s="131">
        <v>17.5</v>
      </c>
      <c r="E31" s="173">
        <f>IFERROR(__xludf.DUMMYFUNCTION("IF(ISNUMBER(D31), ROUND(D31 * GOOGLEFINANCE(""CURRENCY:EURINR""), 2), """")"),1920.4)</f>
        <v>1920.4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55" t="s">
        <v>2366</v>
      </c>
      <c r="C32" s="25" t="s">
        <v>76</v>
      </c>
      <c r="D32" s="131">
        <v>0.0</v>
      </c>
      <c r="E32" s="173">
        <f>IFERROR(__xludf.DUMMYFUNCTION("IF(ISNUMBER(D32), ROUND(D32 * GOOGLEFINANCE(""CURRENCY:EURINR""),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55" t="s">
        <v>2368</v>
      </c>
      <c r="C33" s="25" t="s">
        <v>76</v>
      </c>
      <c r="D33" s="131">
        <v>0.0</v>
      </c>
      <c r="E33" s="173">
        <f>IFERROR(__xludf.DUMMYFUNCTION("IF(ISNUMBER(D33), ROUND(D33 * GOOGLEFINANCE(""CURRENCY:EURINR""),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55" t="s">
        <v>2370</v>
      </c>
      <c r="C34" s="25" t="s">
        <v>76</v>
      </c>
      <c r="D34" s="131">
        <v>0.0</v>
      </c>
      <c r="E34" s="173">
        <f>IFERROR(__xludf.DUMMYFUNCTION("IF(ISNUMBER(D34), ROUND(D34 * GOOGLEFINANCE(""CURRENCY:EURINR""),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98" t="s">
        <v>2371</v>
      </c>
      <c r="C35" s="25" t="s">
        <v>76</v>
      </c>
      <c r="D35" s="131">
        <v>0.0</v>
      </c>
      <c r="E35" s="173">
        <f>IFERROR(__xludf.DUMMYFUNCTION("IF(ISNUMBER(D35), ROUND(D35 * GOOGLEFINANCE(""CURRENCY:EURINR""),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98" t="s">
        <v>2372</v>
      </c>
      <c r="C36" s="25" t="s">
        <v>76</v>
      </c>
      <c r="D36" s="131">
        <v>0.0</v>
      </c>
      <c r="E36" s="173">
        <f>IFERROR(__xludf.DUMMYFUNCTION("IF(ISNUMBER(D36), ROUND(D36 * GOOGLEFINANCE(""CURRENCY:EURINR""),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98" t="s">
        <v>2373</v>
      </c>
      <c r="C37" s="25" t="s">
        <v>76</v>
      </c>
      <c r="D37" s="131">
        <v>0.0</v>
      </c>
      <c r="E37" s="173">
        <f>IFERROR(__xludf.DUMMYFUNCTION("IF(ISNUMBER(D37), ROUND(D37 * GOOGLEFINANCE(""CURRENCY:EURINR""),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98" t="s">
        <v>2374</v>
      </c>
      <c r="C38" s="25" t="s">
        <v>76</v>
      </c>
      <c r="D38" s="131">
        <v>0.0</v>
      </c>
      <c r="E38" s="173">
        <f>IFERROR(__xludf.DUMMYFUNCTION("IF(ISNUMBER(D38), ROUND(D38 * GOOGLEFINANCE(""CURRENCY:EURINR""),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98" t="s">
        <v>2375</v>
      </c>
      <c r="C39" s="25" t="s">
        <v>76</v>
      </c>
      <c r="D39" s="131">
        <v>0.0</v>
      </c>
      <c r="E39" s="173">
        <f>IFERROR(__xludf.DUMMYFUNCTION("IF(ISNUMBER(D39), ROUND(D39 * GOOGLEFINANCE(""CURRENCY:EURINR""),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98" t="s">
        <v>2376</v>
      </c>
      <c r="C40" s="25" t="s">
        <v>76</v>
      </c>
      <c r="D40" s="131">
        <v>0.0</v>
      </c>
      <c r="E40" s="173">
        <f>IFERROR(__xludf.DUMMYFUNCTION("IF(ISNUMBER(D40), ROUND(D40 * GOOGLEFINANCE(""CURRENCY:EURINR""), 2), """")"),0.0)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98" t="s">
        <v>2377</v>
      </c>
      <c r="C41" s="25" t="s">
        <v>76</v>
      </c>
      <c r="D41" s="131">
        <v>0.0</v>
      </c>
      <c r="E41" s="173">
        <f>IFERROR(__xludf.DUMMYFUNCTION("IF(ISNUMBER(D41), ROUND(D41 * GOOGLEFINANCE(""CURRENCY:EURINR""), 2), """")"),0.0)</f>
        <v>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37" t="s">
        <v>74</v>
      </c>
      <c r="B42" s="101" t="s">
        <v>2378</v>
      </c>
      <c r="C42" s="25" t="s">
        <v>76</v>
      </c>
      <c r="D42" s="131">
        <v>0.0</v>
      </c>
      <c r="E42" s="173">
        <f>IFERROR(__xludf.DUMMYFUNCTION("IF(ISNUMBER(D42), ROUND(D42 * GOOGLEFINANCE(""CURRENCY:EURINR""), 2), """")"),0.0)</f>
        <v>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47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2367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2369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2379</v>
      </c>
      <c r="C29" s="4" t="s">
        <v>76</v>
      </c>
      <c r="D29" s="187">
        <v>0.0</v>
      </c>
      <c r="E29" s="127">
        <f>IFERROR(__xludf.DUMMYFUNCTION("IF(ISNUMBER(D29), ROUND(D29 * GOOGLEFINANCE(""CURRENCY:EURINR""), 2), """")"),0.0)</f>
        <v>0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2381</v>
      </c>
      <c r="C30" s="4" t="s">
        <v>76</v>
      </c>
      <c r="D30" s="187">
        <v>0.0</v>
      </c>
      <c r="E30" s="127">
        <f>IFERROR(__xludf.DUMMYFUNCTION("IF(ISNUMBER(D30), ROUND(D30 * GOOGLEFINANCE(""CURRENCY:EURINR""), 2), """")"),0.0)</f>
        <v>0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2382</v>
      </c>
      <c r="C31" s="4" t="s">
        <v>76</v>
      </c>
      <c r="D31" s="187">
        <v>0.0</v>
      </c>
      <c r="E31" s="127">
        <f>IFERROR(__xludf.DUMMYFUNCTION("IF(ISNUMBER(D31), ROUND(D31 * GOOGLEFINANCE(""CURRENCY:EURINR""), 2), """")"),0.0)</f>
        <v>0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2383</v>
      </c>
      <c r="C32" s="4" t="s">
        <v>76</v>
      </c>
      <c r="D32" s="187">
        <v>0.0</v>
      </c>
      <c r="E32" s="127">
        <f>IFERROR(__xludf.DUMMYFUNCTION("IF(ISNUMBER(D32), ROUND(D32 * GOOGLEFINANCE(""CURRENCY:EURINR""), 2), """")"),0.0)</f>
        <v>0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2385</v>
      </c>
      <c r="C33" s="4" t="s">
        <v>76</v>
      </c>
      <c r="D33" s="187">
        <v>0.0</v>
      </c>
      <c r="E33" s="127">
        <f>IFERROR(__xludf.DUMMYFUNCTION("IF(ISNUMBER(D33), ROUND(D33 * GOOGLEFINANCE(""CURRENCY:EURINR""), 2), """")"),0.0)</f>
        <v>0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2386</v>
      </c>
      <c r="C34" s="4" t="s">
        <v>76</v>
      </c>
      <c r="D34" s="187">
        <v>0.0</v>
      </c>
      <c r="E34" s="127">
        <f>IFERROR(__xludf.DUMMYFUNCTION("IF(ISNUMBER(D34), ROUND(D34 * GOOGLEFINANCE(""CURRENCY:EURINR""), 2), """")"),0.0)</f>
        <v>0</v>
      </c>
      <c r="F34" s="19"/>
      <c r="G34" s="4"/>
      <c r="H34" s="4"/>
      <c r="I34" s="4" t="s">
        <v>78</v>
      </c>
    </row>
    <row r="35" ht="14.25" customHeight="1">
      <c r="A35" s="21" t="s">
        <v>74</v>
      </c>
      <c r="B35" s="179" t="s">
        <v>2387</v>
      </c>
      <c r="C35" s="21" t="s">
        <v>76</v>
      </c>
      <c r="D35" s="130">
        <v>0.0</v>
      </c>
      <c r="E35" s="172">
        <f>IFERROR(__xludf.DUMMYFUNCTION("IF(ISNUMBER(D35), ROUND(D35 * GOOGLEFINANCE(""CURRENCY:EURINR""), 2), """")"),0.0)</f>
        <v>0</v>
      </c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4.25" customHeight="1">
      <c r="A36" s="25" t="s">
        <v>74</v>
      </c>
      <c r="B36" s="98" t="s">
        <v>2388</v>
      </c>
      <c r="C36" s="25" t="s">
        <v>76</v>
      </c>
      <c r="D36" s="131">
        <v>0.0</v>
      </c>
      <c r="E36" s="173">
        <f>IFERROR(__xludf.DUMMYFUNCTION("IF(ISNUMBER(D36), ROUND(D36 * GOOGLEFINANCE(""CURRENCY:EURINR""),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98" t="s">
        <v>2389</v>
      </c>
      <c r="C37" s="25" t="s">
        <v>76</v>
      </c>
      <c r="D37" s="131">
        <v>0.0</v>
      </c>
      <c r="E37" s="173">
        <f>IFERROR(__xludf.DUMMYFUNCTION("IF(ISNUMBER(D37), ROUND(D37 * GOOGLEFINANCE(""CURRENCY:EURINR""),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98" t="s">
        <v>2390</v>
      </c>
      <c r="C38" s="25" t="s">
        <v>76</v>
      </c>
      <c r="D38" s="131">
        <v>0.0</v>
      </c>
      <c r="E38" s="173">
        <f>IFERROR(__xludf.DUMMYFUNCTION("IF(ISNUMBER(D38), ROUND(D38 * GOOGLEFINANCE(""CURRENCY:EURINR""),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98" t="s">
        <v>2391</v>
      </c>
      <c r="C39" s="25" t="s">
        <v>76</v>
      </c>
      <c r="D39" s="131">
        <v>0.0</v>
      </c>
      <c r="E39" s="173">
        <f>IFERROR(__xludf.DUMMYFUNCTION("IF(ISNUMBER(D39), ROUND(D39 * GOOGLEFINANCE(""CURRENCY:EURINR""),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98" t="s">
        <v>2392</v>
      </c>
      <c r="C40" s="25" t="s">
        <v>76</v>
      </c>
      <c r="D40" s="131">
        <v>0.0</v>
      </c>
      <c r="E40" s="173">
        <f>IFERROR(__xludf.DUMMYFUNCTION("IF(ISNUMBER(D40), ROUND(D40 * GOOGLEFINANCE(""CURRENCY:EURINR""), 2), """")"),0.0)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37" t="s">
        <v>74</v>
      </c>
      <c r="B41" s="101" t="s">
        <v>2393</v>
      </c>
      <c r="C41" s="37" t="s">
        <v>76</v>
      </c>
      <c r="D41" s="133">
        <v>0.0</v>
      </c>
      <c r="E41" s="174">
        <f>IFERROR(__xludf.DUMMYFUNCTION("IF(ISNUMBER(D41), ROUND(D41 * GOOGLEFINANCE(""CURRENCY:EURINR""), 2), """")"),0.0)</f>
        <v>0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2380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2384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2394</v>
      </c>
      <c r="C29" s="21" t="s">
        <v>76</v>
      </c>
      <c r="D29" s="130">
        <v>0.0</v>
      </c>
      <c r="E29" s="172">
        <f>IFERROR(__xludf.DUMMYFUNCTION("IF(ISNUMBER(D29), ROUND(D29 * GOOGLEFINANCE(""CURRENCY:EURINR""),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2395</v>
      </c>
      <c r="C30" s="25" t="s">
        <v>76</v>
      </c>
      <c r="D30" s="131">
        <v>15.0</v>
      </c>
      <c r="E30" s="173">
        <f>IFERROR(__xludf.DUMMYFUNCTION("IF(ISNUMBER(D30), ROUND(D30 * GOOGLEFINANCE(""CURRENCY:EURINR""), 2), """")"),1646.06)</f>
        <v>1646.06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2396</v>
      </c>
      <c r="C31" s="25" t="s">
        <v>76</v>
      </c>
      <c r="D31" s="131">
        <v>0.0</v>
      </c>
      <c r="E31" s="173">
        <f>IFERROR(__xludf.DUMMYFUNCTION("IF(ISNUMBER(D31), ROUND(D31 * GOOGLEFINANCE(""CURRENCY:EURINR""),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2397</v>
      </c>
      <c r="C32" s="25" t="s">
        <v>76</v>
      </c>
      <c r="D32" s="131">
        <v>0.0</v>
      </c>
      <c r="E32" s="173">
        <f>IFERROR(__xludf.DUMMYFUNCTION("IF(ISNUMBER(D32), ROUND(D32 * GOOGLEFINANCE(""CURRENCY:EURINR""),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2398</v>
      </c>
      <c r="C33" s="25" t="s">
        <v>76</v>
      </c>
      <c r="D33" s="131">
        <v>0.0</v>
      </c>
      <c r="E33" s="173">
        <f>IFERROR(__xludf.DUMMYFUNCTION("IF(ISNUMBER(D33), ROUND(D33 * GOOGLEFINANCE(""CURRENCY:EURINR""),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2399</v>
      </c>
      <c r="C34" s="25" t="s">
        <v>76</v>
      </c>
      <c r="D34" s="131">
        <v>0.0</v>
      </c>
      <c r="E34" s="173">
        <f>IFERROR(__xludf.DUMMYFUNCTION("IF(ISNUMBER(D34), ROUND(D34 * GOOGLEFINANCE(""CURRENCY:EURINR""),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2400</v>
      </c>
      <c r="C35" s="25" t="s">
        <v>76</v>
      </c>
      <c r="D35" s="131">
        <v>0.0</v>
      </c>
      <c r="E35" s="173">
        <f>IFERROR(__xludf.DUMMYFUNCTION("IF(ISNUMBER(D35), ROUND(D35 * GOOGLEFINANCE(""CURRENCY:EURINR""),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2401</v>
      </c>
      <c r="C36" s="25" t="s">
        <v>76</v>
      </c>
      <c r="D36" s="131">
        <v>0.0</v>
      </c>
      <c r="E36" s="173">
        <f>IFERROR(__xludf.DUMMYFUNCTION("IF(ISNUMBER(D36), ROUND(D36 * GOOGLEFINANCE(""CURRENCY:EURINR""),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2402</v>
      </c>
      <c r="C37" s="25" t="s">
        <v>76</v>
      </c>
      <c r="D37" s="131">
        <v>0.0</v>
      </c>
      <c r="E37" s="173">
        <f>IFERROR(__xludf.DUMMYFUNCTION("IF(ISNUMBER(D37), ROUND(D37 * GOOGLEFINANCE(""CURRENCY:EURINR""),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2403</v>
      </c>
      <c r="C38" s="25" t="s">
        <v>76</v>
      </c>
      <c r="D38" s="131">
        <v>0.0</v>
      </c>
      <c r="E38" s="173">
        <f>IFERROR(__xludf.DUMMYFUNCTION("IF(ISNUMBER(D38), ROUND(D38 * GOOGLEFINANCE(""CURRENCY:EURINR""),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2404</v>
      </c>
      <c r="C39" s="25" t="s">
        <v>76</v>
      </c>
      <c r="D39" s="131">
        <v>0.0</v>
      </c>
      <c r="E39" s="173">
        <f>IFERROR(__xludf.DUMMYFUNCTION("IF(ISNUMBER(D39), ROUND(D39 * GOOGLEFINANCE(""CURRENCY:EURINR""),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2405</v>
      </c>
      <c r="C40" s="25" t="s">
        <v>76</v>
      </c>
      <c r="D40" s="131">
        <v>0.0</v>
      </c>
      <c r="E40" s="173">
        <f>IFERROR(__xludf.DUMMYFUNCTION("IF(ISNUMBER(D40), ROUND(D40 * GOOGLEFINANCE(""CURRENCY:EURINR""), 2), """")"),0.0)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2406</v>
      </c>
      <c r="C41" s="25" t="s">
        <v>76</v>
      </c>
      <c r="D41" s="131">
        <v>0.0</v>
      </c>
      <c r="E41" s="173">
        <f>IFERROR(__xludf.DUMMYFUNCTION("IF(ISNUMBER(D41), ROUND(D41 * GOOGLEFINANCE(""CURRENCY:EURINR""), 2), """")"),0.0)</f>
        <v>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37" t="s">
        <v>74</v>
      </c>
      <c r="B42" s="29" t="s">
        <v>2407</v>
      </c>
      <c r="C42" s="37" t="s">
        <v>76</v>
      </c>
      <c r="D42" s="133">
        <v>0.0</v>
      </c>
      <c r="E42" s="174">
        <f>IFERROR(__xludf.DUMMYFUNCTION("IF(ISNUMBER(D42), ROUND(D42 * GOOGLEFINANCE(""CURRENCY:EURINR""), 2), """")"),0.0)</f>
        <v>0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2408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2409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2427</v>
      </c>
      <c r="C29" s="21" t="s">
        <v>76</v>
      </c>
      <c r="D29" s="130">
        <v>0.0</v>
      </c>
      <c r="E29" s="172">
        <f>IFERROR(__xludf.DUMMYFUNCTION("IF(ISNUMBER(D29), ROUND(D29 * GOOGLEFINANCE(""CURRENCY:EURINR""),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192"/>
    </row>
    <row r="30" ht="14.25" customHeight="1">
      <c r="A30" s="21" t="s">
        <v>74</v>
      </c>
      <c r="B30" s="26" t="s">
        <v>2438</v>
      </c>
      <c r="C30" s="21" t="s">
        <v>76</v>
      </c>
      <c r="D30" s="130">
        <v>0.0</v>
      </c>
      <c r="E30" s="172">
        <f>IFERROR(__xludf.DUMMYFUNCTION("IF(ISNUMBER(D30), ROUND(D30 * GOOGLEFINANCE(""CURRENCY:EURINR""),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193"/>
    </row>
    <row r="31" ht="14.25" customHeight="1">
      <c r="A31" s="21" t="s">
        <v>74</v>
      </c>
      <c r="B31" s="26" t="s">
        <v>2444</v>
      </c>
      <c r="C31" s="21" t="s">
        <v>76</v>
      </c>
      <c r="D31" s="130">
        <v>0.0</v>
      </c>
      <c r="E31" s="172">
        <f>IFERROR(__xludf.DUMMYFUNCTION("IF(ISNUMBER(D31), ROUND(D31 * GOOGLEFINANCE(""CURRENCY:EURINR""),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193"/>
    </row>
    <row r="32" ht="14.25" customHeight="1">
      <c r="A32" s="21" t="s">
        <v>74</v>
      </c>
      <c r="B32" s="26" t="s">
        <v>2446</v>
      </c>
      <c r="C32" s="21" t="s">
        <v>76</v>
      </c>
      <c r="D32" s="130">
        <v>0.0</v>
      </c>
      <c r="E32" s="172">
        <f>IFERROR(__xludf.DUMMYFUNCTION("IF(ISNUMBER(D32), ROUND(D32 * GOOGLEFINANCE(""CURRENCY:EURINR""),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193"/>
    </row>
    <row r="33" ht="14.25" customHeight="1">
      <c r="A33" s="21" t="s">
        <v>74</v>
      </c>
      <c r="B33" s="26" t="s">
        <v>2447</v>
      </c>
      <c r="C33" s="21" t="s">
        <v>76</v>
      </c>
      <c r="D33" s="130">
        <v>0.0</v>
      </c>
      <c r="E33" s="172">
        <f>IFERROR(__xludf.DUMMYFUNCTION("IF(ISNUMBER(D33), ROUND(D33 * GOOGLEFINANCE(""CURRENCY:EURINR""),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193"/>
    </row>
    <row r="34" ht="14.25" customHeight="1">
      <c r="A34" s="21" t="s">
        <v>74</v>
      </c>
      <c r="B34" s="26" t="s">
        <v>2448</v>
      </c>
      <c r="C34" s="21" t="s">
        <v>76</v>
      </c>
      <c r="D34" s="130">
        <v>0.0</v>
      </c>
      <c r="E34" s="172">
        <f>IFERROR(__xludf.DUMMYFUNCTION("IF(ISNUMBER(D34), ROUND(D34 * GOOGLEFINANCE(""CURRENCY:EURINR""),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193"/>
    </row>
    <row r="35" ht="14.25" customHeight="1">
      <c r="A35" s="21" t="s">
        <v>74</v>
      </c>
      <c r="B35" s="26" t="s">
        <v>2449</v>
      </c>
      <c r="C35" s="21" t="s">
        <v>76</v>
      </c>
      <c r="D35" s="130">
        <v>0.0</v>
      </c>
      <c r="E35" s="172">
        <f>IFERROR(__xludf.DUMMYFUNCTION("IF(ISNUMBER(D35), ROUND(D35 * GOOGLEFINANCE(""CURRENCY:EURINR""),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193"/>
    </row>
    <row r="36" ht="14.25" customHeight="1">
      <c r="A36" s="21" t="s">
        <v>74</v>
      </c>
      <c r="B36" s="26" t="s">
        <v>2450</v>
      </c>
      <c r="C36" s="21" t="s">
        <v>76</v>
      </c>
      <c r="D36" s="130">
        <v>0.0</v>
      </c>
      <c r="E36" s="172">
        <f>IFERROR(__xludf.DUMMYFUNCTION("IF(ISNUMBER(D36), ROUND(D36 * GOOGLEFINANCE(""CURRENCY:EURINR""),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193"/>
    </row>
    <row r="37" ht="14.25" customHeight="1">
      <c r="A37" s="21" t="s">
        <v>74</v>
      </c>
      <c r="B37" s="26" t="s">
        <v>2452</v>
      </c>
      <c r="C37" s="21" t="s">
        <v>76</v>
      </c>
      <c r="D37" s="130">
        <v>0.0</v>
      </c>
      <c r="E37" s="172">
        <f>IFERROR(__xludf.DUMMYFUNCTION("IF(ISNUMBER(D37), ROUND(D37 * GOOGLEFINANCE(""CURRENCY:EURINR""),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193"/>
    </row>
    <row r="38" ht="14.25" customHeight="1">
      <c r="A38" s="21" t="s">
        <v>74</v>
      </c>
      <c r="B38" s="26" t="s">
        <v>2453</v>
      </c>
      <c r="C38" s="21" t="s">
        <v>76</v>
      </c>
      <c r="D38" s="130">
        <v>0.0</v>
      </c>
      <c r="E38" s="172">
        <f>IFERROR(__xludf.DUMMYFUNCTION("IF(ISNUMBER(D38), ROUND(D38 * GOOGLEFINANCE(""CURRENCY:EURINR""),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193"/>
    </row>
    <row r="39" ht="14.25" customHeight="1">
      <c r="A39" s="21" t="s">
        <v>74</v>
      </c>
      <c r="B39" s="26" t="s">
        <v>2455</v>
      </c>
      <c r="C39" s="21" t="s">
        <v>76</v>
      </c>
      <c r="D39" s="130">
        <v>0.0</v>
      </c>
      <c r="E39" s="172">
        <f>IFERROR(__xludf.DUMMYFUNCTION("IF(ISNUMBER(D39), ROUND(D39 * GOOGLEFINANCE(""CURRENCY:EURINR""),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193"/>
    </row>
    <row r="40" ht="14.25" customHeight="1">
      <c r="A40" s="21" t="s">
        <v>74</v>
      </c>
      <c r="B40" s="26" t="s">
        <v>2458</v>
      </c>
      <c r="C40" s="21" t="s">
        <v>76</v>
      </c>
      <c r="D40" s="130">
        <v>0.0</v>
      </c>
      <c r="E40" s="172">
        <f>IFERROR(__xludf.DUMMYFUNCTION("IF(ISNUMBER(D40), ROUND(D40 * GOOGLEFINANCE(""CURRENCY:EURINR""), 2), """")"),0.0)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193"/>
    </row>
    <row r="41" ht="14.25" customHeight="1">
      <c r="A41" s="21" t="s">
        <v>74</v>
      </c>
      <c r="B41" s="26" t="s">
        <v>2459</v>
      </c>
      <c r="C41" s="21" t="s">
        <v>76</v>
      </c>
      <c r="D41" s="130">
        <v>0.0</v>
      </c>
      <c r="E41" s="172">
        <f>IFERROR(__xludf.DUMMYFUNCTION("IF(ISNUMBER(D41), ROUND(D41 * GOOGLEFINANCE(""CURRENCY:EURINR""), 2), """")"),0.0)</f>
        <v>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193"/>
    </row>
    <row r="42" ht="14.25" customHeight="1">
      <c r="A42" s="21" t="s">
        <v>74</v>
      </c>
      <c r="B42" s="26" t="s">
        <v>2460</v>
      </c>
      <c r="C42" s="21" t="s">
        <v>76</v>
      </c>
      <c r="D42" s="130">
        <v>0.0</v>
      </c>
      <c r="E42" s="172">
        <f>IFERROR(__xludf.DUMMYFUNCTION("IF(ISNUMBER(D42), ROUND(D42 * GOOGLEFINANCE(""CURRENCY:EURINR""), 2), """")"),0.0)</f>
        <v>0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193"/>
    </row>
    <row r="43" ht="14.25" customHeight="1">
      <c r="A43" s="21" t="s">
        <v>74</v>
      </c>
      <c r="B43" s="26" t="s">
        <v>2461</v>
      </c>
      <c r="C43" s="21" t="s">
        <v>76</v>
      </c>
      <c r="D43" s="130">
        <v>0.0</v>
      </c>
      <c r="E43" s="172">
        <f>IFERROR(__xludf.DUMMYFUNCTION("IF(ISNUMBER(D43), ROUND(D43 * GOOGLEFINANCE(""CURRENCY:EURINR""), 2), """")"),0.0)</f>
        <v>0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193"/>
    </row>
    <row r="44" ht="14.25" customHeight="1">
      <c r="A44" s="21" t="s">
        <v>74</v>
      </c>
      <c r="B44" s="26" t="s">
        <v>2462</v>
      </c>
      <c r="C44" s="21" t="s">
        <v>76</v>
      </c>
      <c r="D44" s="130">
        <v>0.0</v>
      </c>
      <c r="E44" s="172">
        <f>IFERROR(__xludf.DUMMYFUNCTION("IF(ISNUMBER(D44), ROUND(D44 * GOOGLEFINANCE(""CURRENCY:EURINR""), 2), """")"),0.0)</f>
        <v>0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193"/>
    </row>
    <row r="45" ht="14.25" customHeight="1">
      <c r="A45" s="21" t="s">
        <v>74</v>
      </c>
      <c r="B45" s="29" t="s">
        <v>2463</v>
      </c>
      <c r="C45" s="21" t="s">
        <v>76</v>
      </c>
      <c r="D45" s="130">
        <v>0.0</v>
      </c>
      <c r="E45" s="172">
        <f>IFERROR(__xludf.DUMMYFUNCTION("IF(ISNUMBER(D45), ROUND(D45 * GOOGLEFINANCE(""CURRENCY:EURINR""), 2), """")"),0.0)</f>
        <v>0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19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5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50.71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2410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2411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5.0" customHeight="1">
      <c r="A29" s="21" t="s">
        <v>74</v>
      </c>
      <c r="B29" s="53" t="s">
        <v>2415</v>
      </c>
      <c r="C29" s="21" t="s">
        <v>76</v>
      </c>
      <c r="D29" s="130">
        <v>0.0</v>
      </c>
      <c r="E29" s="172">
        <f>IFERROR(__xludf.DUMMYFUNCTION("IF(ISNUMBER(D29), ROUND(D29 * GOOGLEFINANCE(""CURRENCY:EURINR""),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55" t="s">
        <v>2418</v>
      </c>
      <c r="C30" s="25" t="s">
        <v>76</v>
      </c>
      <c r="D30" s="131">
        <v>0.0</v>
      </c>
      <c r="E30" s="173">
        <f>IFERROR(__xludf.DUMMYFUNCTION("IF(ISNUMBER(D30), ROUND(D30 * GOOGLEFINANCE(""CURRENCY:EURINR""),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55" t="s">
        <v>2421</v>
      </c>
      <c r="C31" s="25" t="s">
        <v>76</v>
      </c>
      <c r="D31" s="131">
        <v>0.0</v>
      </c>
      <c r="E31" s="173">
        <f>IFERROR(__xludf.DUMMYFUNCTION("IF(ISNUMBER(D31), ROUND(D31 * GOOGLEFINANCE(""CURRENCY:EURINR""),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55" t="s">
        <v>2423</v>
      </c>
      <c r="C32" s="25" t="s">
        <v>76</v>
      </c>
      <c r="D32" s="131">
        <v>0.0</v>
      </c>
      <c r="E32" s="173">
        <f>IFERROR(__xludf.DUMMYFUNCTION("IF(ISNUMBER(D32), ROUND(D32 * GOOGLEFINANCE(""CURRENCY:EURINR""),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55" t="s">
        <v>2425</v>
      </c>
      <c r="C33" s="25" t="s">
        <v>76</v>
      </c>
      <c r="D33" s="131">
        <v>0.0</v>
      </c>
      <c r="E33" s="173">
        <f>IFERROR(__xludf.DUMMYFUNCTION("IF(ISNUMBER(D33), ROUND(D33 * GOOGLEFINANCE(""CURRENCY:EURINR""), 2), """")"),0.0)</f>
        <v>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55" t="s">
        <v>2429</v>
      </c>
      <c r="C34" s="25" t="s">
        <v>76</v>
      </c>
      <c r="D34" s="131">
        <v>0.0</v>
      </c>
      <c r="E34" s="173">
        <f>IFERROR(__xludf.DUMMYFUNCTION("IF(ISNUMBER(D34), ROUND(D34 * GOOGLEFINANCE(""CURRENCY:EURINR""),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98" t="s">
        <v>2431</v>
      </c>
      <c r="C35" s="25" t="s">
        <v>76</v>
      </c>
      <c r="D35" s="131">
        <v>0.0</v>
      </c>
      <c r="E35" s="173">
        <f>IFERROR(__xludf.DUMMYFUNCTION("IF(ISNUMBER(D35), ROUND(D35 * GOOGLEFINANCE(""CURRENCY:EURINR""),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98" t="s">
        <v>2434</v>
      </c>
      <c r="C36" s="25" t="s">
        <v>76</v>
      </c>
      <c r="D36" s="131">
        <v>0.0</v>
      </c>
      <c r="E36" s="173">
        <f>IFERROR(__xludf.DUMMYFUNCTION("IF(ISNUMBER(D36), ROUND(D36 * GOOGLEFINANCE(""CURRENCY:EURINR""),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98" t="s">
        <v>2436</v>
      </c>
      <c r="C37" s="25" t="s">
        <v>76</v>
      </c>
      <c r="D37" s="131">
        <v>0.0</v>
      </c>
      <c r="E37" s="173">
        <f>IFERROR(__xludf.DUMMYFUNCTION("IF(ISNUMBER(D37), ROUND(D37 * GOOGLEFINANCE(""CURRENCY:EURINR""),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98" t="s">
        <v>2439</v>
      </c>
      <c r="C38" s="25" t="s">
        <v>76</v>
      </c>
      <c r="D38" s="131">
        <v>0.0</v>
      </c>
      <c r="E38" s="173">
        <f>IFERROR(__xludf.DUMMYFUNCTION("IF(ISNUMBER(D38), ROUND(D38 * GOOGLEFINANCE(""CURRENCY:EURINR""),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98" t="s">
        <v>2441</v>
      </c>
      <c r="C39" s="25" t="s">
        <v>76</v>
      </c>
      <c r="D39" s="131">
        <v>0.0</v>
      </c>
      <c r="E39" s="173">
        <f>IFERROR(__xludf.DUMMYFUNCTION("IF(ISNUMBER(D39), ROUND(D39 * GOOGLEFINANCE(""CURRENCY:EURINR""),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98" t="s">
        <v>2443</v>
      </c>
      <c r="C40" s="25" t="s">
        <v>76</v>
      </c>
      <c r="D40" s="131">
        <v>0.0</v>
      </c>
      <c r="E40" s="173">
        <f>IFERROR(__xludf.DUMMYFUNCTION("IF(ISNUMBER(D40), ROUND(D40 * GOOGLEFINANCE(""CURRENCY:EURINR""), 2), """")"),0.0)</f>
        <v>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37" t="s">
        <v>74</v>
      </c>
      <c r="B41" s="101" t="s">
        <v>2445</v>
      </c>
      <c r="C41" s="25" t="s">
        <v>76</v>
      </c>
      <c r="D41" s="131">
        <v>0.0</v>
      </c>
      <c r="E41" s="173">
        <f>IFERROR(__xludf.DUMMYFUNCTION("IF(ISNUMBER(D41), ROUND(D41 * GOOGLEFINANCE(""CURRENCY:EURINR""), 2), """")"),0.0)</f>
        <v>0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2412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2413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2414</v>
      </c>
      <c r="C29" s="21" t="s">
        <v>76</v>
      </c>
      <c r="D29" s="130">
        <v>0.0</v>
      </c>
      <c r="E29" s="172">
        <f>IFERROR(__xludf.DUMMYFUNCTION("IF(ISNUMBER(D29), ROUND(D29 * GOOGLEFINANCE(""CURRENCY:EURINR""), 2), """")"),0.0)</f>
        <v>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2416</v>
      </c>
      <c r="C30" s="25" t="s">
        <v>76</v>
      </c>
      <c r="D30" s="131">
        <v>0.0</v>
      </c>
      <c r="E30" s="173">
        <f>IFERROR(__xludf.DUMMYFUNCTION("IF(ISNUMBER(D30), ROUND(D30 * GOOGLEFINANCE(""CURRENCY:EURINR""),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2417</v>
      </c>
      <c r="C31" s="25" t="s">
        <v>76</v>
      </c>
      <c r="D31" s="131">
        <v>0.0</v>
      </c>
      <c r="E31" s="173">
        <f>IFERROR(__xludf.DUMMYFUNCTION("IF(ISNUMBER(D31), ROUND(D31 * GOOGLEFINANCE(""CURRENCY:EURINR""), 2), """")"),0.0)</f>
        <v>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2419</v>
      </c>
      <c r="C32" s="25" t="s">
        <v>76</v>
      </c>
      <c r="D32" s="131">
        <v>0.0</v>
      </c>
      <c r="E32" s="173">
        <f>IFERROR(__xludf.DUMMYFUNCTION("IF(ISNUMBER(D32), ROUND(D32 * GOOGLEFINANCE(""CURRENCY:EURINR""),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2420</v>
      </c>
      <c r="C33" s="25" t="s">
        <v>76</v>
      </c>
      <c r="D33" s="131">
        <v>17.5</v>
      </c>
      <c r="E33" s="173">
        <f>IFERROR(__xludf.DUMMYFUNCTION("IF(ISNUMBER(D33), ROUND(D33 * GOOGLEFINANCE(""CURRENCY:EURINR""), 2), """")"),1920.4)</f>
        <v>1920.4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2422</v>
      </c>
      <c r="C34" s="25" t="s">
        <v>76</v>
      </c>
      <c r="D34" s="131">
        <v>0.0</v>
      </c>
      <c r="E34" s="173">
        <f>IFERROR(__xludf.DUMMYFUNCTION("IF(ISNUMBER(D34), ROUND(D34 * GOOGLEFINANCE(""CURRENCY:EURINR""), 2), """")"),0.0)</f>
        <v>0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2424</v>
      </c>
      <c r="C35" s="25" t="s">
        <v>76</v>
      </c>
      <c r="D35" s="131">
        <v>0.0</v>
      </c>
      <c r="E35" s="173">
        <f>IFERROR(__xludf.DUMMYFUNCTION("IF(ISNUMBER(D35), ROUND(D35 * GOOGLEFINANCE(""CURRENCY:EURINR""), 2), """")"),0.0)</f>
        <v>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2426</v>
      </c>
      <c r="C36" s="25" t="s">
        <v>76</v>
      </c>
      <c r="D36" s="131">
        <v>0.0</v>
      </c>
      <c r="E36" s="173">
        <f>IFERROR(__xludf.DUMMYFUNCTION("IF(ISNUMBER(D36), ROUND(D36 * GOOGLEFINANCE(""CURRENCY:EURINR""),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2428</v>
      </c>
      <c r="C37" s="25" t="s">
        <v>76</v>
      </c>
      <c r="D37" s="131">
        <v>0.0</v>
      </c>
      <c r="E37" s="173">
        <f>IFERROR(__xludf.DUMMYFUNCTION("IF(ISNUMBER(D37), ROUND(D37 * GOOGLEFINANCE(""CURRENCY:EURINR""), 2), """")"),0.0)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2430</v>
      </c>
      <c r="C38" s="25" t="s">
        <v>76</v>
      </c>
      <c r="D38" s="131">
        <v>0.0</v>
      </c>
      <c r="E38" s="173">
        <f>IFERROR(__xludf.DUMMYFUNCTION("IF(ISNUMBER(D38), ROUND(D38 * GOOGLEFINANCE(""CURRENCY:EURINR""),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2432</v>
      </c>
      <c r="C39" s="25" t="s">
        <v>76</v>
      </c>
      <c r="D39" s="131">
        <v>0.0</v>
      </c>
      <c r="E39" s="173">
        <f>IFERROR(__xludf.DUMMYFUNCTION("IF(ISNUMBER(D39), ROUND(D39 * GOOGLEFINANCE(""CURRENCY:EURINR""),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25" t="s">
        <v>74</v>
      </c>
      <c r="B40" s="26" t="s">
        <v>2433</v>
      </c>
      <c r="C40" s="25" t="s">
        <v>76</v>
      </c>
      <c r="D40" s="131">
        <v>17.5</v>
      </c>
      <c r="E40" s="173">
        <f>IFERROR(__xludf.DUMMYFUNCTION("IF(ISNUMBER(D40), ROUND(D40 * GOOGLEFINANCE(""CURRENCY:EURINR""), 2), """")"),1920.4)</f>
        <v>1920.4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25" t="s">
        <v>74</v>
      </c>
      <c r="B41" s="26" t="s">
        <v>2435</v>
      </c>
      <c r="C41" s="25" t="s">
        <v>76</v>
      </c>
      <c r="D41" s="131">
        <v>0.0</v>
      </c>
      <c r="E41" s="173">
        <f>IFERROR(__xludf.DUMMYFUNCTION("IF(ISNUMBER(D41), ROUND(D41 * GOOGLEFINANCE(""CURRENCY:EURINR""), 2), """")"),0.0)</f>
        <v>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25" t="s">
        <v>74</v>
      </c>
      <c r="B42" s="26" t="s">
        <v>2437</v>
      </c>
      <c r="C42" s="25" t="s">
        <v>76</v>
      </c>
      <c r="D42" s="131">
        <v>0.0</v>
      </c>
      <c r="E42" s="173">
        <f>IFERROR(__xludf.DUMMYFUNCTION("IF(ISNUMBER(D42), ROUND(D42 * GOOGLEFINANCE(""CURRENCY:EURINR""), 2), """")"),0.0)</f>
        <v>0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25" t="s">
        <v>74</v>
      </c>
      <c r="B43" s="26" t="s">
        <v>2440</v>
      </c>
      <c r="C43" s="25" t="s">
        <v>76</v>
      </c>
      <c r="D43" s="131">
        <v>0.0</v>
      </c>
      <c r="E43" s="173">
        <f>IFERROR(__xludf.DUMMYFUNCTION("IF(ISNUMBER(D43), ROUND(D43 * GOOGLEFINANCE(""CURRENCY:EURINR""), 2), """")"),0.0)</f>
        <v>0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25" t="s">
        <v>74</v>
      </c>
      <c r="B44" s="29" t="s">
        <v>2442</v>
      </c>
      <c r="C44" s="25" t="s">
        <v>76</v>
      </c>
      <c r="D44" s="131">
        <v>17.5</v>
      </c>
      <c r="E44" s="173">
        <f>IFERROR(__xludf.DUMMYFUNCTION("IF(ISNUMBER(D44), ROUND(D44 * GOOGLEFINANCE(""CURRENCY:EURINR""), 2), """")"),1920.4)</f>
        <v>1920.4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41.71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2451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2454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8" t="s">
        <v>2456</v>
      </c>
    </row>
    <row r="6" ht="14.25" customHeight="1">
      <c r="A6" s="9" t="s">
        <v>2457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1">
        <v>120.0</v>
      </c>
      <c r="G10" s="52">
        <v>10800.0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1">
        <v>120.0</v>
      </c>
      <c r="G11" s="52">
        <v>10800.0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1">
        <v>180.0</v>
      </c>
      <c r="G12" s="52">
        <v>16200.0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1">
        <v>180.0</v>
      </c>
      <c r="G13" s="52">
        <v>16200.0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1">
        <v>280.0</v>
      </c>
      <c r="G14" s="52">
        <v>25200.0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1">
        <v>280.0</v>
      </c>
      <c r="G15" s="52">
        <v>25200.0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1">
        <v>450.0</v>
      </c>
      <c r="G16" s="52">
        <v>40500.0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1">
        <v>450.0</v>
      </c>
      <c r="G17" s="52">
        <v>40500.0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1">
        <v>75.0</v>
      </c>
      <c r="G18" s="52">
        <v>6750.0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1">
        <v>75.0</v>
      </c>
      <c r="G19" s="52">
        <v>6750.0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1">
        <v>90.0</v>
      </c>
      <c r="G20" s="52">
        <v>8100.0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1">
        <v>250.0</v>
      </c>
      <c r="G21" s="52">
        <v>22500.0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1">
        <v>35.0</v>
      </c>
      <c r="G22" s="52">
        <v>3150.0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1">
        <v>25.0</v>
      </c>
      <c r="G23" s="52">
        <v>2250.0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1">
        <v>40.0</v>
      </c>
      <c r="G24" s="52">
        <v>3600.0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1">
        <v>12.0</v>
      </c>
      <c r="G25" s="52">
        <v>1080.0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1">
        <v>8.0</v>
      </c>
      <c r="G26" s="52">
        <v>720.0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11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2464</v>
      </c>
      <c r="C29" s="32" t="s">
        <v>76</v>
      </c>
      <c r="D29" s="61">
        <v>30.0</v>
      </c>
      <c r="E29" s="61">
        <v>2700.0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2465</v>
      </c>
      <c r="C30" s="32" t="s">
        <v>76</v>
      </c>
      <c r="D30" s="61">
        <v>45.0</v>
      </c>
      <c r="E30" s="61">
        <v>4050.0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2466</v>
      </c>
      <c r="C31" s="32" t="s">
        <v>76</v>
      </c>
      <c r="D31" s="61">
        <v>50.0</v>
      </c>
      <c r="E31" s="61">
        <v>4500.0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2467</v>
      </c>
      <c r="C32" s="32" t="s">
        <v>76</v>
      </c>
      <c r="D32" s="61">
        <v>35.0</v>
      </c>
      <c r="E32" s="61">
        <v>3150.0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2468</v>
      </c>
      <c r="C33" s="32" t="s">
        <v>76</v>
      </c>
      <c r="D33" s="61">
        <v>25.0</v>
      </c>
      <c r="E33" s="61">
        <v>2250.0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2469</v>
      </c>
      <c r="C34" s="32" t="s">
        <v>76</v>
      </c>
      <c r="D34" s="61">
        <v>40.0</v>
      </c>
      <c r="E34" s="61">
        <v>3600.0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2470</v>
      </c>
      <c r="C35" s="32" t="s">
        <v>76</v>
      </c>
      <c r="D35" s="61">
        <v>20.0</v>
      </c>
      <c r="E35" s="61">
        <v>1800.0</v>
      </c>
    </row>
    <row r="36" ht="14.25" customHeight="1">
      <c r="A36" s="4" t="s">
        <v>74</v>
      </c>
      <c r="B36" s="8" t="s">
        <v>2471</v>
      </c>
      <c r="C36" s="32" t="s">
        <v>76</v>
      </c>
      <c r="D36" s="61">
        <v>20.0</v>
      </c>
      <c r="E36" s="61">
        <v>1800.0</v>
      </c>
    </row>
    <row r="37" ht="14.25" customHeight="1">
      <c r="A37" s="4" t="s">
        <v>74</v>
      </c>
      <c r="B37" s="8" t="s">
        <v>2472</v>
      </c>
      <c r="C37" s="32" t="s">
        <v>76</v>
      </c>
      <c r="D37" s="61">
        <v>25.0</v>
      </c>
      <c r="E37" s="61">
        <v>2250.0</v>
      </c>
    </row>
    <row r="38" ht="14.25" customHeight="1">
      <c r="A38" s="4" t="s">
        <v>74</v>
      </c>
      <c r="B38" s="8" t="s">
        <v>2473</v>
      </c>
      <c r="C38" s="32" t="s">
        <v>76</v>
      </c>
      <c r="D38" s="61">
        <v>15.0</v>
      </c>
      <c r="E38" s="61">
        <v>1350.0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45.57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2474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2476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8" t="s">
        <v>2477</v>
      </c>
    </row>
    <row r="6" ht="14.25" customHeight="1">
      <c r="A6" s="9" t="s">
        <v>2479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1">
        <v>193.0</v>
      </c>
      <c r="G10" s="52">
        <f t="shared" ref="G10:G26" si="1">F10*90</f>
        <v>17370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1">
        <v>142.0</v>
      </c>
      <c r="G11" s="52">
        <f t="shared" si="1"/>
        <v>12780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1">
        <v>283.0</v>
      </c>
      <c r="G12" s="52">
        <f t="shared" si="1"/>
        <v>25470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1">
        <v>206.0</v>
      </c>
      <c r="G13" s="52">
        <f t="shared" si="1"/>
        <v>18540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1">
        <v>451.0</v>
      </c>
      <c r="G14" s="52">
        <f t="shared" si="1"/>
        <v>40590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1">
        <v>322.0</v>
      </c>
      <c r="G15" s="52">
        <f t="shared" si="1"/>
        <v>28980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1">
        <v>451.0</v>
      </c>
      <c r="G16" s="52">
        <f t="shared" si="1"/>
        <v>40590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1">
        <v>322.0</v>
      </c>
      <c r="G17" s="52">
        <f t="shared" si="1"/>
        <v>28980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1">
        <v>90.0</v>
      </c>
      <c r="G18" s="52">
        <f t="shared" si="1"/>
        <v>8100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1">
        <v>90.0</v>
      </c>
      <c r="G19" s="52">
        <f t="shared" si="1"/>
        <v>8100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1">
        <v>77.0</v>
      </c>
      <c r="G20" s="52">
        <f t="shared" si="1"/>
        <v>6930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1">
        <v>322.0</v>
      </c>
      <c r="G21" s="52">
        <f t="shared" si="1"/>
        <v>28980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1">
        <v>52.0</v>
      </c>
      <c r="G22" s="52">
        <f t="shared" si="1"/>
        <v>4680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1">
        <v>39.0</v>
      </c>
      <c r="G23" s="52">
        <f t="shared" si="1"/>
        <v>3510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1">
        <v>64.0</v>
      </c>
      <c r="G24" s="52">
        <f t="shared" si="1"/>
        <v>5760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1">
        <v>19.0</v>
      </c>
      <c r="G25" s="52">
        <f t="shared" si="1"/>
        <v>1710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1">
        <v>10.0</v>
      </c>
      <c r="G26" s="52">
        <f t="shared" si="1"/>
        <v>900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11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2486</v>
      </c>
      <c r="C29" s="32" t="s">
        <v>76</v>
      </c>
      <c r="D29" s="195">
        <v>35.0</v>
      </c>
      <c r="E29" s="196" t="s">
        <v>2487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2488</v>
      </c>
      <c r="C30" s="32" t="s">
        <v>76</v>
      </c>
      <c r="D30" s="197">
        <v>30.0</v>
      </c>
      <c r="E30" s="198" t="s">
        <v>2489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2490</v>
      </c>
      <c r="C31" s="32" t="s">
        <v>76</v>
      </c>
      <c r="D31" s="197">
        <v>25.0</v>
      </c>
      <c r="E31" s="198" t="s">
        <v>2491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2492</v>
      </c>
      <c r="C32" s="32" t="s">
        <v>76</v>
      </c>
      <c r="D32" s="197">
        <v>25.0</v>
      </c>
      <c r="E32" s="198" t="s">
        <v>2491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2493</v>
      </c>
      <c r="C33" s="32" t="s">
        <v>76</v>
      </c>
      <c r="D33" s="197">
        <v>20.0</v>
      </c>
      <c r="E33" s="198" t="s">
        <v>2494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8" t="s">
        <v>2495</v>
      </c>
      <c r="C34" s="32" t="s">
        <v>76</v>
      </c>
      <c r="D34" s="197">
        <v>20.0</v>
      </c>
      <c r="E34" s="198" t="s">
        <v>2497</v>
      </c>
    </row>
    <row r="35" ht="14.25" customHeight="1">
      <c r="A35" s="4" t="s">
        <v>74</v>
      </c>
      <c r="B35" s="8" t="s">
        <v>2498</v>
      </c>
      <c r="C35" s="32" t="s">
        <v>76</v>
      </c>
      <c r="D35" s="197">
        <v>30.0</v>
      </c>
      <c r="E35" s="198" t="s">
        <v>2489</v>
      </c>
    </row>
    <row r="36" ht="14.25" customHeight="1">
      <c r="A36" s="4" t="s">
        <v>74</v>
      </c>
      <c r="B36" s="8" t="s">
        <v>2499</v>
      </c>
      <c r="C36" s="32" t="s">
        <v>76</v>
      </c>
      <c r="D36" s="197">
        <v>25.0</v>
      </c>
      <c r="E36" s="198" t="s">
        <v>2491</v>
      </c>
    </row>
    <row r="37" ht="14.25" customHeight="1">
      <c r="A37" s="4" t="s">
        <v>74</v>
      </c>
      <c r="B37" s="8" t="s">
        <v>2500</v>
      </c>
      <c r="C37" s="32" t="s">
        <v>76</v>
      </c>
      <c r="D37" s="197">
        <v>15.0</v>
      </c>
      <c r="E37" s="198" t="s">
        <v>2501</v>
      </c>
    </row>
    <row r="38" ht="14.25" customHeight="1">
      <c r="A38" s="4" t="s">
        <v>74</v>
      </c>
      <c r="B38" s="8" t="s">
        <v>2502</v>
      </c>
      <c r="C38" s="32" t="s">
        <v>76</v>
      </c>
      <c r="D38" s="197">
        <v>20.0</v>
      </c>
      <c r="E38" s="198" t="s">
        <v>2494</v>
      </c>
    </row>
    <row r="39" ht="14.25" customHeight="1">
      <c r="A39" s="4" t="s">
        <v>74</v>
      </c>
      <c r="B39" s="8" t="s">
        <v>2503</v>
      </c>
      <c r="C39" s="32" t="s">
        <v>76</v>
      </c>
      <c r="D39" s="197">
        <v>25.0</v>
      </c>
      <c r="E39" s="198" t="s">
        <v>2491</v>
      </c>
    </row>
    <row r="40" ht="14.25" customHeight="1">
      <c r="A40" s="4" t="s">
        <v>74</v>
      </c>
      <c r="B40" s="8" t="s">
        <v>2505</v>
      </c>
      <c r="C40" s="32" t="s">
        <v>76</v>
      </c>
      <c r="D40" s="202">
        <v>20.0</v>
      </c>
      <c r="E40" s="203" t="s">
        <v>2494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2475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2478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8" t="s">
        <v>2480</v>
      </c>
    </row>
    <row r="6" ht="14.25" customHeight="1">
      <c r="A6" s="9" t="s">
        <v>2481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1">
        <v>193.0</v>
      </c>
      <c r="G10" s="52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1">
        <v>142.0</v>
      </c>
      <c r="G11" s="52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1">
        <v>283.0</v>
      </c>
      <c r="G12" s="52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1">
        <v>206.0</v>
      </c>
      <c r="G13" s="52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1">
        <v>451.0</v>
      </c>
      <c r="G14" s="52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1">
        <v>322.0</v>
      </c>
      <c r="G15" s="52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1">
        <v>451.0</v>
      </c>
      <c r="G16" s="52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1">
        <v>322.0</v>
      </c>
      <c r="G17" s="52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1">
        <v>90.0</v>
      </c>
      <c r="G18" s="52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1">
        <v>90.0</v>
      </c>
      <c r="G19" s="52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1">
        <v>77.0</v>
      </c>
      <c r="G20" s="52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1">
        <v>322.0</v>
      </c>
      <c r="G21" s="52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1">
        <v>52.0</v>
      </c>
      <c r="G22" s="52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1">
        <v>39.0</v>
      </c>
      <c r="G23" s="52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1">
        <v>64.0</v>
      </c>
      <c r="G24" s="52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1">
        <v>19.0</v>
      </c>
      <c r="G25" s="52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1">
        <v>10.0</v>
      </c>
      <c r="G26" s="52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11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2496</v>
      </c>
      <c r="C29" s="32" t="s">
        <v>76</v>
      </c>
      <c r="D29" s="200">
        <v>35.0</v>
      </c>
      <c r="E29" s="201">
        <f>IFERROR(__xludf.DUMMYFUNCTION("IF(ISNUMBER(D29), ROUND(D29 * GOOGLEFINANCE(""CURRENCY:EURINR""), 2), """")"),3840.8)</f>
        <v>3840.8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2504</v>
      </c>
      <c r="C30" s="32" t="s">
        <v>76</v>
      </c>
      <c r="D30" s="200">
        <v>35.0</v>
      </c>
      <c r="E30" s="201">
        <f>IFERROR(__xludf.DUMMYFUNCTION("IF(ISNUMBER(D30), ROUND(D30 * GOOGLEFINANCE(""CURRENCY:EURINR""), 2), """")"),3840.8)</f>
        <v>3840.8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2506</v>
      </c>
      <c r="C31" s="32" t="s">
        <v>76</v>
      </c>
      <c r="D31" s="200">
        <v>30.0</v>
      </c>
      <c r="E31" s="201">
        <f>IFERROR(__xludf.DUMMYFUNCTION("IF(ISNUMBER(D31), ROUND(D31 * GOOGLEFINANCE(""CURRENCY:EURINR""), 2), """")"),3292.11)</f>
        <v>3292.11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2507</v>
      </c>
      <c r="C32" s="32" t="s">
        <v>76</v>
      </c>
      <c r="D32" s="200">
        <v>25.0</v>
      </c>
      <c r="E32" s="201">
        <f>IFERROR(__xludf.DUMMYFUNCTION("IF(ISNUMBER(D32), ROUND(D32 * GOOGLEFINANCE(""CURRENCY:EURINR""), 2), """")"),2743.43)</f>
        <v>2743.43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2508</v>
      </c>
      <c r="C33" s="32" t="s">
        <v>76</v>
      </c>
      <c r="D33" s="200">
        <v>30.0</v>
      </c>
      <c r="E33" s="201">
        <f>IFERROR(__xludf.DUMMYFUNCTION("IF(ISNUMBER(D33), ROUND(D33 * GOOGLEFINANCE(""CURRENCY:EURINR""), 2), """")"),3292.11)</f>
        <v>3292.11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2509</v>
      </c>
      <c r="C34" s="32" t="s">
        <v>76</v>
      </c>
      <c r="D34" s="200">
        <v>40.0</v>
      </c>
      <c r="E34" s="201">
        <f>IFERROR(__xludf.DUMMYFUNCTION("IF(ISNUMBER(D34), ROUND(D34 * GOOGLEFINANCE(""CURRENCY:EURINR""), 2), """")"),4389.48)</f>
        <v>4389.48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2510</v>
      </c>
      <c r="C35" s="32" t="s">
        <v>76</v>
      </c>
      <c r="D35" s="200">
        <v>20.0</v>
      </c>
      <c r="E35" s="201">
        <f>IFERROR(__xludf.DUMMYFUNCTION("IF(ISNUMBER(D35), ROUND(D35 * GOOGLEFINANCE(""CURRENCY:EURINR""), 2), """")"),2194.74)</f>
        <v>2194.74</v>
      </c>
    </row>
    <row r="36" ht="14.25" customHeight="1">
      <c r="A36" s="4" t="s">
        <v>74</v>
      </c>
      <c r="B36" s="8" t="s">
        <v>2511</v>
      </c>
      <c r="C36" s="32" t="s">
        <v>76</v>
      </c>
      <c r="D36" s="200">
        <v>20.0</v>
      </c>
      <c r="E36" s="201">
        <f>IFERROR(__xludf.DUMMYFUNCTION("IF(ISNUMBER(D36), ROUND(D36 * GOOGLEFINANCE(""CURRENCY:EURINR""), 2), """")"),2194.74)</f>
        <v>2194.74</v>
      </c>
    </row>
    <row r="37" ht="14.25" customHeight="1">
      <c r="A37" s="4" t="s">
        <v>74</v>
      </c>
      <c r="B37" s="8" t="s">
        <v>2512</v>
      </c>
      <c r="C37" s="32" t="s">
        <v>76</v>
      </c>
      <c r="D37" s="200">
        <v>25.0</v>
      </c>
      <c r="E37" s="201">
        <f>IFERROR(__xludf.DUMMYFUNCTION("IF(ISNUMBER(D37), ROUND(D37 * GOOGLEFINANCE(""CURRENCY:EURINR""), 2), """")"),2743.43)</f>
        <v>2743.43</v>
      </c>
    </row>
    <row r="38" ht="14.25" customHeight="1">
      <c r="A38" s="4" t="s">
        <v>74</v>
      </c>
      <c r="B38" s="8" t="s">
        <v>2513</v>
      </c>
      <c r="C38" s="32" t="s">
        <v>76</v>
      </c>
      <c r="D38" s="200">
        <v>25.0</v>
      </c>
      <c r="E38" s="201">
        <f>IFERROR(__xludf.DUMMYFUNCTION("IF(ISNUMBER(D38), ROUND(D38 * GOOGLEFINANCE(""CURRENCY:EURINR""), 2), """")"),2743.43)</f>
        <v>2743.43</v>
      </c>
    </row>
    <row r="39" ht="14.25" customHeight="1">
      <c r="A39" s="4" t="s">
        <v>74</v>
      </c>
      <c r="B39" s="8" t="s">
        <v>2514</v>
      </c>
      <c r="C39" s="32" t="s">
        <v>76</v>
      </c>
      <c r="D39" s="200">
        <v>25.0</v>
      </c>
      <c r="E39" s="201">
        <f>IFERROR(__xludf.DUMMYFUNCTION("IF(ISNUMBER(D39), ROUND(D39 * GOOGLEFINANCE(""CURRENCY:EURINR""), 2), """")"),2743.43)</f>
        <v>2743.43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45.57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2482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2483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8" t="s">
        <v>2484</v>
      </c>
    </row>
    <row r="6" ht="14.25" customHeight="1">
      <c r="A6" s="9" t="s">
        <v>2485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199">
        <v>193.0</v>
      </c>
      <c r="G10" s="58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199">
        <v>142.0</v>
      </c>
      <c r="G11" s="58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199">
        <v>283.0</v>
      </c>
      <c r="G12" s="58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199">
        <v>206.0</v>
      </c>
      <c r="G13" s="58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199">
        <v>451.0</v>
      </c>
      <c r="G14" s="58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199">
        <v>322.0</v>
      </c>
      <c r="G15" s="58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199">
        <v>451.0</v>
      </c>
      <c r="G16" s="58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199">
        <v>322.0</v>
      </c>
      <c r="G17" s="58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199">
        <v>90.0</v>
      </c>
      <c r="G18" s="58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199">
        <v>90.0</v>
      </c>
      <c r="G19" s="58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199">
        <v>77.0</v>
      </c>
      <c r="G20" s="58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199">
        <v>322.0</v>
      </c>
      <c r="G21" s="58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199">
        <v>52.0</v>
      </c>
      <c r="G22" s="58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199">
        <v>39.0</v>
      </c>
      <c r="G23" s="58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199">
        <v>64.0</v>
      </c>
      <c r="G24" s="58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199">
        <v>19.0</v>
      </c>
      <c r="G25" s="58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199">
        <v>10.0</v>
      </c>
      <c r="G26" s="58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11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2515</v>
      </c>
      <c r="C29" s="32" t="s">
        <v>76</v>
      </c>
      <c r="D29" s="199">
        <v>35.0</v>
      </c>
      <c r="E29" s="58">
        <f>IFERROR(__xludf.DUMMYFUNCTION("IF(ISNUMBER(D29), ROUND(D29 * GOOGLEFINANCE(""CURRENCY:EURINR""), 2), """")"),3840.8)</f>
        <v>3840.8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2516</v>
      </c>
      <c r="C30" s="32" t="s">
        <v>76</v>
      </c>
      <c r="D30" s="199">
        <v>30.0</v>
      </c>
      <c r="E30" s="58">
        <f>IFERROR(__xludf.DUMMYFUNCTION("IF(ISNUMBER(D30), ROUND(D30 * GOOGLEFINANCE(""CURRENCY:EURINR""), 2), """")"),3292.11)</f>
        <v>3292.11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2517</v>
      </c>
      <c r="C31" s="32" t="s">
        <v>76</v>
      </c>
      <c r="D31" s="199">
        <v>25.0</v>
      </c>
      <c r="E31" s="58">
        <f>IFERROR(__xludf.DUMMYFUNCTION("IF(ISNUMBER(D31), ROUND(D31 * GOOGLEFINANCE(""CURRENCY:EURINR""), 2), """")"),2743.43)</f>
        <v>2743.43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2518</v>
      </c>
      <c r="C32" s="32" t="s">
        <v>76</v>
      </c>
      <c r="D32" s="199">
        <v>30.0</v>
      </c>
      <c r="E32" s="58">
        <f>IFERROR(__xludf.DUMMYFUNCTION("IF(ISNUMBER(D32), ROUND(D32 * GOOGLEFINANCE(""CURRENCY:EURINR""), 2), """")"),3292.11)</f>
        <v>3292.11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2519</v>
      </c>
      <c r="C33" s="32" t="s">
        <v>76</v>
      </c>
      <c r="D33" s="199">
        <v>25.0</v>
      </c>
      <c r="E33" s="58">
        <f>IFERROR(__xludf.DUMMYFUNCTION("IF(ISNUMBER(D33), ROUND(D33 * GOOGLEFINANCE(""CURRENCY:EURINR""), 2), """")"),2743.43)</f>
        <v>2743.43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2520</v>
      </c>
      <c r="C34" s="32" t="s">
        <v>76</v>
      </c>
      <c r="D34" s="199">
        <v>25.0</v>
      </c>
      <c r="E34" s="58">
        <f>IFERROR(__xludf.DUMMYFUNCTION("IF(ISNUMBER(D34), ROUND(D34 * GOOGLEFINANCE(""CURRENCY:EURINR""), 2), """")"),2743.43)</f>
        <v>2743.43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2522</v>
      </c>
      <c r="C35" s="32" t="s">
        <v>76</v>
      </c>
      <c r="D35" s="199">
        <v>25.0</v>
      </c>
      <c r="E35" s="58">
        <f>IFERROR(__xludf.DUMMYFUNCTION("IF(ISNUMBER(D35), ROUND(D35 * GOOGLEFINANCE(""CURRENCY:EURINR""), 2), """")"),2743.43)</f>
        <v>2743.43</v>
      </c>
    </row>
    <row r="36" ht="14.25" customHeight="1">
      <c r="A36" s="4" t="s">
        <v>74</v>
      </c>
      <c r="B36" s="8" t="s">
        <v>2523</v>
      </c>
      <c r="C36" s="32" t="s">
        <v>76</v>
      </c>
      <c r="D36" s="199">
        <v>25.0</v>
      </c>
      <c r="E36" s="58">
        <f>IFERROR(__xludf.DUMMYFUNCTION("IF(ISNUMBER(D36), ROUND(D36 * GOOGLEFINANCE(""CURRENCY:EURINR""), 2), """")"),2743.43)</f>
        <v>2743.43</v>
      </c>
    </row>
    <row r="37" ht="14.25" customHeight="1">
      <c r="A37" s="4" t="s">
        <v>74</v>
      </c>
      <c r="B37" s="8" t="s">
        <v>2524</v>
      </c>
      <c r="C37" s="32" t="s">
        <v>76</v>
      </c>
      <c r="D37" s="199">
        <v>20.0</v>
      </c>
      <c r="E37" s="58">
        <f>IFERROR(__xludf.DUMMYFUNCTION("IF(ISNUMBER(D37), ROUND(D37 * GOOGLEFINANCE(""CURRENCY:EURINR""), 2), """")"),2194.74)</f>
        <v>2194.74</v>
      </c>
    </row>
    <row r="38" ht="14.25" customHeight="1">
      <c r="A38" s="4" t="s">
        <v>74</v>
      </c>
      <c r="B38" s="8" t="s">
        <v>2526</v>
      </c>
      <c r="C38" s="32" t="s">
        <v>76</v>
      </c>
      <c r="D38" s="199">
        <v>20.0</v>
      </c>
      <c r="E38" s="58">
        <f>IFERROR(__xludf.DUMMYFUNCTION("IF(ISNUMBER(D38), ROUND(D38 * GOOGLEFINANCE(""CURRENCY:EURINR""), 2), """")"),2194.74)</f>
        <v>2194.74</v>
      </c>
    </row>
    <row r="39" ht="14.25" customHeight="1">
      <c r="A39" s="4" t="s">
        <v>74</v>
      </c>
      <c r="B39" s="8" t="s">
        <v>2527</v>
      </c>
      <c r="C39" s="32" t="s">
        <v>76</v>
      </c>
      <c r="D39" s="199">
        <v>25.0</v>
      </c>
      <c r="E39" s="58">
        <f>IFERROR(__xludf.DUMMYFUNCTION("IF(ISNUMBER(D39), ROUND(D39 * GOOGLEFINANCE(""CURRENCY:EURINR""), 2), """")"),2743.43)</f>
        <v>2743.43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51.57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2521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2525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8" t="s">
        <v>2528</v>
      </c>
    </row>
    <row r="6" ht="14.25" customHeight="1">
      <c r="A6" s="9" t="s">
        <v>2529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204">
        <v>193.0</v>
      </c>
      <c r="G10" s="205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204">
        <v>142.0</v>
      </c>
      <c r="G11" s="205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204">
        <v>283.0</v>
      </c>
      <c r="G12" s="205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204">
        <v>206.0</v>
      </c>
      <c r="G13" s="205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204">
        <v>451.0</v>
      </c>
      <c r="G14" s="205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204">
        <v>322.0</v>
      </c>
      <c r="G15" s="205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204">
        <v>451.0</v>
      </c>
      <c r="G16" s="205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204">
        <v>322.0</v>
      </c>
      <c r="G17" s="205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204">
        <v>90.0</v>
      </c>
      <c r="G18" s="205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204">
        <v>90.0</v>
      </c>
      <c r="G19" s="205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204">
        <v>77.0</v>
      </c>
      <c r="G20" s="205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204">
        <v>322.0</v>
      </c>
      <c r="G21" s="205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204">
        <v>52.0</v>
      </c>
      <c r="G22" s="205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204">
        <v>39.0</v>
      </c>
      <c r="G23" s="205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204">
        <v>64.0</v>
      </c>
      <c r="G24" s="205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204">
        <v>19.0</v>
      </c>
      <c r="G25" s="205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204">
        <v>10.0</v>
      </c>
      <c r="G26" s="205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11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2534</v>
      </c>
      <c r="C29" s="32" t="s">
        <v>76</v>
      </c>
      <c r="D29" s="204">
        <v>30.0</v>
      </c>
      <c r="E29" s="205">
        <f>IFERROR(__xludf.DUMMYFUNCTION("IF(ISNUMBER(D29), ROUND(D29 * GOOGLEFINANCE(""CURRENCY:EURINR""), 2), """")"),3292.11)</f>
        <v>3292.11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2535</v>
      </c>
      <c r="C30" s="32" t="s">
        <v>76</v>
      </c>
      <c r="D30" s="204">
        <v>35.0</v>
      </c>
      <c r="E30" s="205">
        <f>IFERROR(__xludf.DUMMYFUNCTION("IF(ISNUMBER(D30), ROUND(D30 * GOOGLEFINANCE(""CURRENCY:EURINR""), 2), """")"),3840.8)</f>
        <v>3840.8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2536</v>
      </c>
      <c r="C31" s="32" t="s">
        <v>76</v>
      </c>
      <c r="D31" s="204">
        <v>25.0</v>
      </c>
      <c r="E31" s="205">
        <f>IFERROR(__xludf.DUMMYFUNCTION("IF(ISNUMBER(D31), ROUND(D31 * GOOGLEFINANCE(""CURRENCY:EURINR""), 2), """")"),2743.43)</f>
        <v>2743.43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2537</v>
      </c>
      <c r="C32" s="32" t="s">
        <v>76</v>
      </c>
      <c r="D32" s="204">
        <v>20.0</v>
      </c>
      <c r="E32" s="205">
        <f>IFERROR(__xludf.DUMMYFUNCTION("IF(ISNUMBER(D32), ROUND(D32 * GOOGLEFINANCE(""CURRENCY:EURINR""), 2), """")"),2194.74)</f>
        <v>2194.74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2538</v>
      </c>
      <c r="C33" s="32" t="s">
        <v>76</v>
      </c>
      <c r="D33" s="204">
        <v>30.0</v>
      </c>
      <c r="E33" s="205">
        <f>IFERROR(__xludf.DUMMYFUNCTION("IF(ISNUMBER(D33), ROUND(D33 * GOOGLEFINANCE(""CURRENCY:EURINR""), 2), """")"),3292.11)</f>
        <v>3292.11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2539</v>
      </c>
      <c r="C34" s="32" t="s">
        <v>76</v>
      </c>
      <c r="D34" s="204">
        <v>35.0</v>
      </c>
      <c r="E34" s="205">
        <f>IFERROR(__xludf.DUMMYFUNCTION("IF(ISNUMBER(D34), ROUND(D34 * GOOGLEFINANCE(""CURRENCY:EURINR""), 2), """")"),3840.8)</f>
        <v>3840.8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2540</v>
      </c>
      <c r="C35" s="32" t="s">
        <v>76</v>
      </c>
      <c r="D35" s="204">
        <v>35.0</v>
      </c>
      <c r="E35" s="205">
        <f>IFERROR(__xludf.DUMMYFUNCTION("IF(ISNUMBER(D35), ROUND(D35 * GOOGLEFINANCE(""CURRENCY:EURINR""), 2), """")"),3840.8)</f>
        <v>3840.8</v>
      </c>
    </row>
    <row r="36" ht="14.25" customHeight="1">
      <c r="A36" s="4" t="s">
        <v>74</v>
      </c>
      <c r="B36" s="8" t="s">
        <v>2541</v>
      </c>
      <c r="C36" s="32" t="s">
        <v>76</v>
      </c>
      <c r="D36" s="204">
        <v>25.0</v>
      </c>
      <c r="E36" s="205">
        <f>IFERROR(__xludf.DUMMYFUNCTION("IF(ISNUMBER(D36), ROUND(D36 * GOOGLEFINANCE(""CURRENCY:EURINR""), 2), """")"),2743.43)</f>
        <v>2743.43</v>
      </c>
    </row>
    <row r="37" ht="14.25" customHeight="1">
      <c r="A37" s="4" t="s">
        <v>74</v>
      </c>
      <c r="B37" s="8" t="s">
        <v>2542</v>
      </c>
      <c r="C37" s="32" t="s">
        <v>76</v>
      </c>
      <c r="D37" s="204">
        <v>25.0</v>
      </c>
      <c r="E37" s="205">
        <f>IFERROR(__xludf.DUMMYFUNCTION("IF(ISNUMBER(D37), ROUND(D37 * GOOGLEFINANCE(""CURRENCY:EURINR""), 2), """")"),2743.43)</f>
        <v>2743.43</v>
      </c>
    </row>
    <row r="38" ht="14.25" customHeight="1">
      <c r="A38" s="4" t="s">
        <v>74</v>
      </c>
      <c r="B38" s="8" t="s">
        <v>2544</v>
      </c>
      <c r="C38" s="32" t="s">
        <v>76</v>
      </c>
      <c r="D38" s="204">
        <v>25.0</v>
      </c>
      <c r="E38" s="205">
        <f>IFERROR(__xludf.DUMMYFUNCTION("IF(ISNUMBER(D38), ROUND(D38 * GOOGLEFINANCE(""CURRENCY:EURINR""), 2), """")"),2743.43)</f>
        <v>2743.43</v>
      </c>
    </row>
    <row r="39" ht="14.25" customHeight="1">
      <c r="A39" s="4" t="s">
        <v>74</v>
      </c>
      <c r="B39" s="8" t="s">
        <v>2546</v>
      </c>
      <c r="C39" s="32" t="s">
        <v>76</v>
      </c>
      <c r="D39" s="204">
        <v>25.0</v>
      </c>
      <c r="E39" s="205">
        <f>IFERROR(__xludf.DUMMYFUNCTION("IF(ISNUMBER(D39), ROUND(D39 * GOOGLEFINANCE(""CURRENCY:EURINR""), 2), """")"),2743.43)</f>
        <v>2743.43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47.86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2530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2531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8" t="s">
        <v>2532</v>
      </c>
    </row>
    <row r="6" ht="14.25" customHeight="1">
      <c r="A6" s="9" t="s">
        <v>2533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199">
        <v>193.0</v>
      </c>
      <c r="G10" s="58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199">
        <v>142.0</v>
      </c>
      <c r="G11" s="58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199">
        <v>283.0</v>
      </c>
      <c r="G12" s="58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199">
        <v>206.0</v>
      </c>
      <c r="G13" s="58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199">
        <v>451.0</v>
      </c>
      <c r="G14" s="58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199">
        <v>322.0</v>
      </c>
      <c r="G15" s="58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199">
        <v>451.0</v>
      </c>
      <c r="G16" s="58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199">
        <v>322.0</v>
      </c>
      <c r="G17" s="58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199">
        <v>90.0</v>
      </c>
      <c r="G18" s="58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199">
        <v>90.0</v>
      </c>
      <c r="G19" s="58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199">
        <v>77.0</v>
      </c>
      <c r="G20" s="58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199">
        <v>322.0</v>
      </c>
      <c r="G21" s="58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199">
        <v>52.0</v>
      </c>
      <c r="G22" s="58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199">
        <v>39.0</v>
      </c>
      <c r="G23" s="58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199">
        <v>64.0</v>
      </c>
      <c r="G24" s="58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199">
        <v>19.0</v>
      </c>
      <c r="G25" s="58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199">
        <v>10.0</v>
      </c>
      <c r="G26" s="58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11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2543</v>
      </c>
      <c r="C29" s="32" t="s">
        <v>76</v>
      </c>
      <c r="D29" s="199">
        <v>35.0</v>
      </c>
      <c r="E29" s="58">
        <f>IFERROR(__xludf.DUMMYFUNCTION("IF(ISNUMBER(D29), ROUND(D29 * GOOGLEFINANCE(""CURRENCY:EURINR""), 2), """")"),3840.8)</f>
        <v>3840.8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2545</v>
      </c>
      <c r="C30" s="32" t="s">
        <v>76</v>
      </c>
      <c r="D30" s="199">
        <v>30.0</v>
      </c>
      <c r="E30" s="58">
        <f>IFERROR(__xludf.DUMMYFUNCTION("IF(ISNUMBER(D30), ROUND(D30 * GOOGLEFINANCE(""CURRENCY:EURINR""), 2), """")"),3292.11)</f>
        <v>3292.11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2547</v>
      </c>
      <c r="C31" s="32" t="s">
        <v>76</v>
      </c>
      <c r="D31" s="199">
        <v>45.0</v>
      </c>
      <c r="E31" s="58">
        <f>IFERROR(__xludf.DUMMYFUNCTION("IF(ISNUMBER(D31), ROUND(D31 * GOOGLEFINANCE(""CURRENCY:EURINR""), 2), """")"),4938.17)</f>
        <v>4938.17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2548</v>
      </c>
      <c r="C32" s="32" t="s">
        <v>76</v>
      </c>
      <c r="D32" s="199">
        <v>30.0</v>
      </c>
      <c r="E32" s="58">
        <f>IFERROR(__xludf.DUMMYFUNCTION("IF(ISNUMBER(D32), ROUND(D32 * GOOGLEFINANCE(""CURRENCY:EURINR""), 2), """")"),3292.11)</f>
        <v>3292.11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2549</v>
      </c>
      <c r="C33" s="32" t="s">
        <v>76</v>
      </c>
      <c r="D33" s="199">
        <v>25.0</v>
      </c>
      <c r="E33" s="58">
        <f>IFERROR(__xludf.DUMMYFUNCTION("IF(ISNUMBER(D33), ROUND(D33 * GOOGLEFINANCE(""CURRENCY:EURINR""), 2), """")"),2743.43)</f>
        <v>2743.43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2550</v>
      </c>
      <c r="C34" s="32" t="s">
        <v>76</v>
      </c>
      <c r="D34" s="199">
        <v>25.0</v>
      </c>
      <c r="E34" s="58">
        <f>IFERROR(__xludf.DUMMYFUNCTION("IF(ISNUMBER(D34), ROUND(D34 * GOOGLEFINANCE(""CURRENCY:EURINR""), 2), """")"),2743.43)</f>
        <v>2743.43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2551</v>
      </c>
      <c r="C35" s="32" t="s">
        <v>76</v>
      </c>
      <c r="D35" s="199">
        <v>30.0</v>
      </c>
      <c r="E35" s="58">
        <f>IFERROR(__xludf.DUMMYFUNCTION("IF(ISNUMBER(D35), ROUND(D35 * GOOGLEFINANCE(""CURRENCY:EURINR""), 2), """")"),3292.11)</f>
        <v>3292.11</v>
      </c>
    </row>
    <row r="36" ht="14.25" customHeight="1">
      <c r="A36" s="4" t="s">
        <v>74</v>
      </c>
      <c r="B36" s="8" t="s">
        <v>2552</v>
      </c>
      <c r="C36" s="32" t="s">
        <v>76</v>
      </c>
      <c r="D36" s="199">
        <v>25.0</v>
      </c>
      <c r="E36" s="58">
        <f>IFERROR(__xludf.DUMMYFUNCTION("IF(ISNUMBER(D36), ROUND(D36 * GOOGLEFINANCE(""CURRENCY:EURINR""), 2), """")"),2743.43)</f>
        <v>2743.43</v>
      </c>
    </row>
    <row r="37" ht="14.25" customHeight="1">
      <c r="A37" s="4" t="s">
        <v>74</v>
      </c>
      <c r="B37" s="8" t="s">
        <v>2553</v>
      </c>
      <c r="C37" s="32" t="s">
        <v>76</v>
      </c>
      <c r="D37" s="199">
        <v>25.0</v>
      </c>
      <c r="E37" s="58">
        <f>IFERROR(__xludf.DUMMYFUNCTION("IF(ISNUMBER(D37), ROUND(D37 * GOOGLEFINANCE(""CURRENCY:EURINR""), 2), """")"),2743.43)</f>
        <v>2743.43</v>
      </c>
    </row>
    <row r="38" ht="14.25" customHeight="1">
      <c r="A38" s="4" t="s">
        <v>74</v>
      </c>
      <c r="B38" s="8" t="s">
        <v>2554</v>
      </c>
      <c r="C38" s="32" t="s">
        <v>76</v>
      </c>
      <c r="D38" s="199">
        <v>25.0</v>
      </c>
      <c r="E38" s="58">
        <f>IFERROR(__xludf.DUMMYFUNCTION("IF(ISNUMBER(D38), ROUND(D38 * GOOGLEFINANCE(""CURRENCY:EURINR""), 2), """")"),2743.43)</f>
        <v>2743.43</v>
      </c>
    </row>
    <row r="39" ht="14.25" customHeight="1">
      <c r="A39" s="4" t="s">
        <v>74</v>
      </c>
      <c r="B39" s="8" t="s">
        <v>2555</v>
      </c>
      <c r="C39" s="32" t="s">
        <v>76</v>
      </c>
      <c r="D39" s="199">
        <v>25.0</v>
      </c>
      <c r="E39" s="58">
        <f>IFERROR(__xludf.DUMMYFUNCTION("IF(ISNUMBER(D39), ROUND(D39 * GOOGLEFINANCE(""CURRENCY:EURINR""), 2), """")"),2743.43)</f>
        <v>2743.43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49.43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2556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2557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8" t="s">
        <v>2558</v>
      </c>
    </row>
    <row r="6" ht="14.25" customHeight="1">
      <c r="A6" s="9" t="s">
        <v>2559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199">
        <v>193.0</v>
      </c>
      <c r="G10" s="58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199">
        <v>142.0</v>
      </c>
      <c r="G11" s="58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199">
        <v>283.0</v>
      </c>
      <c r="G12" s="58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199">
        <v>206.0</v>
      </c>
      <c r="G13" s="58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199">
        <v>451.0</v>
      </c>
      <c r="G14" s="58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199">
        <v>322.0</v>
      </c>
      <c r="G15" s="58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199">
        <v>451.0</v>
      </c>
      <c r="G16" s="58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199">
        <v>322.0</v>
      </c>
      <c r="G17" s="58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199">
        <v>90.0</v>
      </c>
      <c r="G18" s="58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199">
        <v>90.0</v>
      </c>
      <c r="G19" s="58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199">
        <v>77.0</v>
      </c>
      <c r="G20" s="58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199">
        <v>322.0</v>
      </c>
      <c r="G21" s="58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199">
        <v>52.0</v>
      </c>
      <c r="G22" s="58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199">
        <v>39.0</v>
      </c>
      <c r="G23" s="58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199">
        <v>64.0</v>
      </c>
      <c r="G24" s="58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199">
        <v>19.0</v>
      </c>
      <c r="G25" s="58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199">
        <v>10.0</v>
      </c>
      <c r="G26" s="58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11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2562</v>
      </c>
      <c r="C29" s="32" t="s">
        <v>76</v>
      </c>
      <c r="D29" s="199">
        <v>35.0</v>
      </c>
      <c r="E29" s="58">
        <f>IFERROR(__xludf.DUMMYFUNCTION("IF(ISNUMBER(D29), ROUND(D29 * GOOGLEFINANCE(""CURRENCY:EURINR""), 2), """")"),3840.8)</f>
        <v>3840.8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2563</v>
      </c>
      <c r="C30" s="32" t="s">
        <v>76</v>
      </c>
      <c r="D30" s="199">
        <v>35.0</v>
      </c>
      <c r="E30" s="58">
        <f>IFERROR(__xludf.DUMMYFUNCTION("IF(ISNUMBER(D30), ROUND(D30 * GOOGLEFINANCE(""CURRENCY:EURINR""), 2), """")"),3840.8)</f>
        <v>3840.8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2564</v>
      </c>
      <c r="C31" s="32" t="s">
        <v>76</v>
      </c>
      <c r="D31" s="199">
        <v>50.0</v>
      </c>
      <c r="E31" s="58">
        <f>IFERROR(__xludf.DUMMYFUNCTION("IF(ISNUMBER(D31), ROUND(D31 * GOOGLEFINANCE(""CURRENCY:EURINR""), 2), """")"),5486.85)</f>
        <v>5486.85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2565</v>
      </c>
      <c r="C32" s="32" t="s">
        <v>76</v>
      </c>
      <c r="D32" s="199">
        <v>45.0</v>
      </c>
      <c r="E32" s="58">
        <f>IFERROR(__xludf.DUMMYFUNCTION("IF(ISNUMBER(D32), ROUND(D32 * GOOGLEFINANCE(""CURRENCY:EURINR""), 2), """")"),4938.17)</f>
        <v>4938.17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2566</v>
      </c>
      <c r="C33" s="32" t="s">
        <v>76</v>
      </c>
      <c r="D33" s="199">
        <v>40.0</v>
      </c>
      <c r="E33" s="58">
        <f>IFERROR(__xludf.DUMMYFUNCTION("IF(ISNUMBER(D33), ROUND(D33 * GOOGLEFINANCE(""CURRENCY:EURINR""), 2), """")"),4389.48)</f>
        <v>4389.48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2567</v>
      </c>
      <c r="C34" s="32" t="s">
        <v>76</v>
      </c>
      <c r="D34" s="199">
        <v>45.0</v>
      </c>
      <c r="E34" s="58">
        <f>IFERROR(__xludf.DUMMYFUNCTION("IF(ISNUMBER(D34), ROUND(D34 * GOOGLEFINANCE(""CURRENCY:EURINR""), 2), """")"),4938.17)</f>
        <v>4938.17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2568</v>
      </c>
      <c r="C35" s="32" t="s">
        <v>76</v>
      </c>
      <c r="D35" s="199">
        <v>50.0</v>
      </c>
      <c r="E35" s="58">
        <f>IFERROR(__xludf.DUMMYFUNCTION("IF(ISNUMBER(D35), ROUND(D35 * GOOGLEFINANCE(""CURRENCY:EURINR""), 2), """")"),5486.85)</f>
        <v>5486.85</v>
      </c>
    </row>
    <row r="36" ht="14.25" customHeight="1">
      <c r="A36" s="4" t="s">
        <v>74</v>
      </c>
      <c r="B36" s="8" t="s">
        <v>2569</v>
      </c>
      <c r="C36" s="32" t="s">
        <v>76</v>
      </c>
      <c r="D36" s="199">
        <v>40.0</v>
      </c>
      <c r="E36" s="58">
        <f>IFERROR(__xludf.DUMMYFUNCTION("IF(ISNUMBER(D36), ROUND(D36 * GOOGLEFINANCE(""CURRENCY:EURINR""), 2), """")"),4389.48)</f>
        <v>4389.48</v>
      </c>
    </row>
    <row r="37" ht="14.25" customHeight="1">
      <c r="A37" s="4" t="s">
        <v>74</v>
      </c>
      <c r="B37" s="8" t="s">
        <v>2570</v>
      </c>
      <c r="C37" s="32" t="s">
        <v>76</v>
      </c>
      <c r="D37" s="199">
        <v>35.0</v>
      </c>
      <c r="E37" s="58">
        <f>IFERROR(__xludf.DUMMYFUNCTION("IF(ISNUMBER(D37), ROUND(D37 * GOOGLEFINANCE(""CURRENCY:EURINR""), 2), """")"),3840.8)</f>
        <v>3840.8</v>
      </c>
    </row>
    <row r="38" ht="14.25" customHeight="1">
      <c r="A38" s="4" t="s">
        <v>74</v>
      </c>
      <c r="B38" s="8" t="s">
        <v>2571</v>
      </c>
      <c r="C38" s="32" t="s">
        <v>76</v>
      </c>
      <c r="D38" s="199">
        <v>30.0</v>
      </c>
      <c r="E38" s="58">
        <f>IFERROR(__xludf.DUMMYFUNCTION("IF(ISNUMBER(D38), ROUND(D38 * GOOGLEFINANCE(""CURRENCY:EURINR""), 2), """")"),3292.11)</f>
        <v>3292.11</v>
      </c>
    </row>
    <row r="39" ht="14.25" customHeight="1">
      <c r="A39" s="4" t="s">
        <v>74</v>
      </c>
      <c r="B39" s="8" t="s">
        <v>2572</v>
      </c>
      <c r="C39" s="32" t="s">
        <v>76</v>
      </c>
      <c r="D39" s="199">
        <v>65.0</v>
      </c>
      <c r="E39" s="58">
        <f>IFERROR(__xludf.DUMMYFUNCTION("IF(ISNUMBER(D39), ROUND(D39 * GOOGLEFINANCE(""CURRENCY:EURINR""), 2), """")"),7132.91)</f>
        <v>7132.91</v>
      </c>
    </row>
    <row r="40" ht="14.25" customHeight="1">
      <c r="A40" s="4" t="s">
        <v>74</v>
      </c>
      <c r="B40" s="8" t="s">
        <v>2573</v>
      </c>
      <c r="C40" s="32" t="s">
        <v>76</v>
      </c>
      <c r="D40" s="199">
        <v>30.0</v>
      </c>
      <c r="E40" s="58">
        <f>IFERROR(__xludf.DUMMYFUNCTION("IF(ISNUMBER(D40), ROUND(D40 * GOOGLEFINANCE(""CURRENCY:EURINR""), 2), """")"),3292.11)</f>
        <v>3292.11</v>
      </c>
    </row>
    <row r="41" ht="14.25" customHeight="1">
      <c r="A41" s="4" t="s">
        <v>74</v>
      </c>
      <c r="B41" s="8" t="s">
        <v>2574</v>
      </c>
      <c r="C41" s="32" t="s">
        <v>76</v>
      </c>
      <c r="D41" s="199">
        <v>45.0</v>
      </c>
      <c r="E41" s="58">
        <f>IFERROR(__xludf.DUMMYFUNCTION("IF(ISNUMBER(D41), ROUND(D41 * GOOGLEFINANCE(""CURRENCY:EURINR""), 2), """")"),4938.17)</f>
        <v>4938.17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50.14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2560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2561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199">
        <v>193.0</v>
      </c>
      <c r="G10" s="58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199">
        <v>142.0</v>
      </c>
      <c r="G11" s="58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199">
        <v>283.0</v>
      </c>
      <c r="G12" s="58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199">
        <v>206.0</v>
      </c>
      <c r="G13" s="58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199">
        <v>451.0</v>
      </c>
      <c r="G14" s="58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199">
        <v>322.0</v>
      </c>
      <c r="G15" s="58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199">
        <v>451.0</v>
      </c>
      <c r="G16" s="58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199">
        <v>322.0</v>
      </c>
      <c r="G17" s="58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199">
        <v>90.0</v>
      </c>
      <c r="G18" s="58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199">
        <v>90.0</v>
      </c>
      <c r="G19" s="58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199">
        <v>77.0</v>
      </c>
      <c r="G20" s="58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199">
        <v>322.0</v>
      </c>
      <c r="G21" s="58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199">
        <v>52.0</v>
      </c>
      <c r="G22" s="58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199">
        <v>39.0</v>
      </c>
      <c r="G23" s="58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199">
        <v>64.0</v>
      </c>
      <c r="G24" s="58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199">
        <v>19.0</v>
      </c>
      <c r="G25" s="58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199">
        <v>10.0</v>
      </c>
      <c r="G26" s="58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53" t="s">
        <v>2579</v>
      </c>
      <c r="C29" s="53" t="s">
        <v>76</v>
      </c>
      <c r="D29" s="188">
        <v>45.0</v>
      </c>
      <c r="E29" s="63">
        <f>IFERROR(__xludf.DUMMYFUNCTION("IF(ISNUMBER(D29), ROUND(D29 * GOOGLEFINANCE(""CURRENCY:EURINR""), 2), """")"),4938.17)</f>
        <v>4938.17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55" t="s">
        <v>2580</v>
      </c>
      <c r="C30" s="55" t="s">
        <v>76</v>
      </c>
      <c r="D30" s="189">
        <v>50.0</v>
      </c>
      <c r="E30" s="65">
        <f>IFERROR(__xludf.DUMMYFUNCTION("IF(ISNUMBER(D30), ROUND(D30 * GOOGLEFINANCE(""CURRENCY:EURINR""), 2), """")"),5486.85)</f>
        <v>5486.85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55" t="s">
        <v>2581</v>
      </c>
      <c r="C31" s="55" t="s">
        <v>76</v>
      </c>
      <c r="D31" s="189">
        <v>35.0</v>
      </c>
      <c r="E31" s="65">
        <f>IFERROR(__xludf.DUMMYFUNCTION("IF(ISNUMBER(D31), ROUND(D31 * GOOGLEFINANCE(""CURRENCY:EURINR""), 2), """")"),3840.8)</f>
        <v>3840.8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55" t="s">
        <v>2582</v>
      </c>
      <c r="C32" s="55" t="s">
        <v>76</v>
      </c>
      <c r="D32" s="189">
        <v>35.0</v>
      </c>
      <c r="E32" s="65">
        <f>IFERROR(__xludf.DUMMYFUNCTION("IF(ISNUMBER(D32), ROUND(D32 * GOOGLEFINANCE(""CURRENCY:EURINR""), 2), """")"),3840.8)</f>
        <v>3840.8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55" t="s">
        <v>2583</v>
      </c>
      <c r="C33" s="55" t="s">
        <v>76</v>
      </c>
      <c r="D33" s="189">
        <v>40.0</v>
      </c>
      <c r="E33" s="65">
        <f>IFERROR(__xludf.DUMMYFUNCTION("IF(ISNUMBER(D33), ROUND(D33 * GOOGLEFINANCE(""CURRENCY:EURINR""), 2), """")"),4389.48)</f>
        <v>4389.48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55" t="s">
        <v>2584</v>
      </c>
      <c r="C34" s="55" t="s">
        <v>76</v>
      </c>
      <c r="D34" s="189">
        <v>35.0</v>
      </c>
      <c r="E34" s="65">
        <f>IFERROR(__xludf.DUMMYFUNCTION("IF(ISNUMBER(D34), ROUND(D34 * GOOGLEFINANCE(""CURRENCY:EURINR""), 2), """")"),3840.8)</f>
        <v>3840.8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98" t="s">
        <v>2585</v>
      </c>
      <c r="C35" s="45"/>
      <c r="D35" s="208">
        <v>65.0</v>
      </c>
      <c r="E35" s="209">
        <f>IFERROR(__xludf.DUMMYFUNCTION("IF(ISNUMBER(D35), ROUND(D35 * GOOGLEFINANCE(""CURRENCY:EURINR""), 2), """")"),7132.91)</f>
        <v>7132.91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98" t="s">
        <v>2586</v>
      </c>
      <c r="C36" s="45"/>
      <c r="D36" s="208">
        <v>25.0</v>
      </c>
      <c r="E36" s="209">
        <f>IFERROR(__xludf.DUMMYFUNCTION("IF(ISNUMBER(D36), ROUND(D36 * GOOGLEFINANCE(""CURRENCY:EURINR""), 2), """")"),2743.43)</f>
        <v>2743.43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98" t="s">
        <v>2587</v>
      </c>
      <c r="C37" s="45"/>
      <c r="D37" s="208">
        <v>30.0</v>
      </c>
      <c r="E37" s="209">
        <f>IFERROR(__xludf.DUMMYFUNCTION("IF(ISNUMBER(D37), ROUND(D37 * GOOGLEFINANCE(""CURRENCY:EURINR""), 2), """")"),3292.11)</f>
        <v>3292.11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98" t="s">
        <v>2588</v>
      </c>
      <c r="C38" s="45"/>
      <c r="D38" s="208">
        <v>30.0</v>
      </c>
      <c r="E38" s="209">
        <f>IFERROR(__xludf.DUMMYFUNCTION("IF(ISNUMBER(D38), ROUND(D38 * GOOGLEFINANCE(""CURRENCY:EURINR""), 2), """")"),3292.11)</f>
        <v>3292.11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37" t="s">
        <v>74</v>
      </c>
      <c r="B39" s="101" t="s">
        <v>2589</v>
      </c>
      <c r="C39" s="30"/>
      <c r="D39" s="210">
        <v>40.0</v>
      </c>
      <c r="E39" s="211">
        <f>IFERROR(__xludf.DUMMYFUNCTION("IF(ISNUMBER(D39), ROUND(D39 * GOOGLEFINANCE(""CURRENCY:EURINR""), 2), """")"),4389.48)</f>
        <v>4389.48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43.43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2575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2576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8" t="s">
        <v>2577</v>
      </c>
    </row>
    <row r="6" ht="14.25" customHeight="1">
      <c r="A6" s="9" t="s">
        <v>2578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206">
        <v>193.0</v>
      </c>
      <c r="G10" s="20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206">
        <v>142.0</v>
      </c>
      <c r="G11" s="20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206">
        <v>283.0</v>
      </c>
      <c r="G12" s="20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206">
        <v>206.0</v>
      </c>
      <c r="G13" s="20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206">
        <v>451.0</v>
      </c>
      <c r="G14" s="20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206">
        <v>322.0</v>
      </c>
      <c r="G15" s="20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206">
        <v>451.0</v>
      </c>
      <c r="G16" s="20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206">
        <v>322.0</v>
      </c>
      <c r="G17" s="20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206">
        <v>90.0</v>
      </c>
      <c r="G18" s="20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206">
        <v>90.0</v>
      </c>
      <c r="G19" s="20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206">
        <v>77.0</v>
      </c>
      <c r="G20" s="20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206">
        <v>322.0</v>
      </c>
      <c r="G21" s="20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206">
        <v>52.0</v>
      </c>
      <c r="G22" s="20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206">
        <v>39.0</v>
      </c>
      <c r="G23" s="20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206">
        <v>64.0</v>
      </c>
      <c r="G24" s="20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206">
        <v>19.0</v>
      </c>
      <c r="G25" s="20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206">
        <v>10.0</v>
      </c>
      <c r="G26" s="20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11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2591</v>
      </c>
      <c r="C29" s="32" t="s">
        <v>76</v>
      </c>
      <c r="D29" s="206">
        <v>35.0</v>
      </c>
      <c r="E29" s="207">
        <f>IFERROR(__xludf.DUMMYFUNCTION("IF(ISNUMBER(D29), ROUND(D29 * GOOGLEFINANCE(""CURRENCY:EURINR""), 2), """")"),3840.8)</f>
        <v>3840.8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2592</v>
      </c>
      <c r="C30" s="32" t="s">
        <v>76</v>
      </c>
      <c r="D30" s="206">
        <v>30.0</v>
      </c>
      <c r="E30" s="207">
        <f>IFERROR(__xludf.DUMMYFUNCTION("IF(ISNUMBER(D30), ROUND(D30 * GOOGLEFINANCE(""CURRENCY:EURINR""), 2), """")"),3292.11)</f>
        <v>3292.11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2594</v>
      </c>
      <c r="C31" s="32" t="s">
        <v>76</v>
      </c>
      <c r="D31" s="206">
        <v>25.0</v>
      </c>
      <c r="E31" s="207">
        <f>IFERROR(__xludf.DUMMYFUNCTION("IF(ISNUMBER(D31), ROUND(D31 * GOOGLEFINANCE(""CURRENCY:EURINR""), 2), """")"),2743.43)</f>
        <v>2743.43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2596</v>
      </c>
      <c r="C32" s="32" t="s">
        <v>76</v>
      </c>
      <c r="D32" s="206">
        <v>45.0</v>
      </c>
      <c r="E32" s="207">
        <f>IFERROR(__xludf.DUMMYFUNCTION("IF(ISNUMBER(D32), ROUND(D32 * GOOGLEFINANCE(""CURRENCY:EURINR""), 2), """")"),4938.17)</f>
        <v>4938.17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2598</v>
      </c>
      <c r="C33" s="32" t="s">
        <v>76</v>
      </c>
      <c r="D33" s="206">
        <v>35.0</v>
      </c>
      <c r="E33" s="207">
        <f>IFERROR(__xludf.DUMMYFUNCTION("IF(ISNUMBER(D33), ROUND(D33 * GOOGLEFINANCE(""CURRENCY:EURINR""), 2), """")"),3840.8)</f>
        <v>3840.8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2599</v>
      </c>
      <c r="C34" s="32" t="s">
        <v>76</v>
      </c>
      <c r="D34" s="206">
        <v>30.0</v>
      </c>
      <c r="E34" s="207">
        <f>IFERROR(__xludf.DUMMYFUNCTION("IF(ISNUMBER(D34), ROUND(D34 * GOOGLEFINANCE(""CURRENCY:EURINR""), 2), """")"),3292.11)</f>
        <v>3292.11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2600</v>
      </c>
      <c r="C35" s="8" t="s">
        <v>76</v>
      </c>
      <c r="D35" s="212">
        <v>25.0</v>
      </c>
      <c r="E35" s="213">
        <f>IFERROR(__xludf.DUMMYFUNCTION("IF(ISNUMBER(D35), ROUND(D35 * GOOGLEFINANCE(""CURRENCY:EURINR""), 2), """")"),2743.43)</f>
        <v>2743.43</v>
      </c>
    </row>
    <row r="36" ht="14.25" customHeight="1">
      <c r="A36" s="4" t="s">
        <v>74</v>
      </c>
      <c r="B36" s="8" t="s">
        <v>2601</v>
      </c>
      <c r="C36" s="8" t="s">
        <v>76</v>
      </c>
      <c r="D36" s="212">
        <v>30.0</v>
      </c>
      <c r="E36" s="213">
        <f>IFERROR(__xludf.DUMMYFUNCTION("IF(ISNUMBER(D36), ROUND(D36 * GOOGLEFINANCE(""CURRENCY:EURINR""), 2), """")"),3292.11)</f>
        <v>3292.11</v>
      </c>
    </row>
    <row r="37" ht="14.25" customHeight="1">
      <c r="A37" s="4" t="s">
        <v>74</v>
      </c>
      <c r="B37" s="8" t="s">
        <v>2602</v>
      </c>
      <c r="C37" s="8" t="s">
        <v>76</v>
      </c>
      <c r="D37" s="212">
        <v>25.0</v>
      </c>
      <c r="E37" s="213">
        <f>IFERROR(__xludf.DUMMYFUNCTION("IF(ISNUMBER(D37), ROUND(D37 * GOOGLEFINANCE(""CURRENCY:EURINR""), 2), """")"),2743.43)</f>
        <v>2743.43</v>
      </c>
    </row>
    <row r="38" ht="14.25" customHeight="1">
      <c r="A38" s="4" t="s">
        <v>74</v>
      </c>
      <c r="B38" s="8" t="s">
        <v>2603</v>
      </c>
      <c r="C38" s="8" t="s">
        <v>76</v>
      </c>
      <c r="D38" s="212">
        <v>25.0</v>
      </c>
      <c r="E38" s="213">
        <f>IFERROR(__xludf.DUMMYFUNCTION("IF(ISNUMBER(D38), ROUND(D38 * GOOGLEFINANCE(""CURRENCY:EURINR""), 2), """")"),2743.43)</f>
        <v>2743.43</v>
      </c>
    </row>
    <row r="39" ht="14.25" customHeight="1">
      <c r="A39" s="4" t="s">
        <v>74</v>
      </c>
      <c r="B39" s="8" t="s">
        <v>2604</v>
      </c>
      <c r="C39" s="8" t="s">
        <v>76</v>
      </c>
      <c r="D39" s="212">
        <v>25.0</v>
      </c>
      <c r="E39" s="213">
        <f>IFERROR(__xludf.DUMMYFUNCTION("IF(ISNUMBER(D39), ROUND(D39 * GOOGLEFINANCE(""CURRENCY:EURINR""), 2), """")"),2743.43)</f>
        <v>2743.43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9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50.71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2590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2593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8" t="s">
        <v>2595</v>
      </c>
    </row>
    <row r="6" ht="14.25" customHeight="1">
      <c r="A6" s="9" t="s">
        <v>2597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199">
        <v>193.0</v>
      </c>
      <c r="G10" s="58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199">
        <v>142.0</v>
      </c>
      <c r="G11" s="58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199">
        <v>283.0</v>
      </c>
      <c r="G12" s="58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199">
        <v>206.0</v>
      </c>
      <c r="G13" s="58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199">
        <v>451.0</v>
      </c>
      <c r="G14" s="58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199">
        <v>322.0</v>
      </c>
      <c r="G15" s="58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199">
        <v>451.0</v>
      </c>
      <c r="G16" s="58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199">
        <v>322.0</v>
      </c>
      <c r="G17" s="58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199">
        <v>90.0</v>
      </c>
      <c r="G18" s="58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199">
        <v>90.0</v>
      </c>
      <c r="G19" s="58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199">
        <v>77.0</v>
      </c>
      <c r="G20" s="58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199">
        <v>322.0</v>
      </c>
      <c r="G21" s="58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199">
        <v>52.0</v>
      </c>
      <c r="G22" s="58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199">
        <v>39.0</v>
      </c>
      <c r="G23" s="58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199">
        <v>64.0</v>
      </c>
      <c r="G24" s="58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199">
        <v>19.0</v>
      </c>
      <c r="G25" s="58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199">
        <v>10.0</v>
      </c>
      <c r="G26" s="58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11" t="s">
        <v>2256</v>
      </c>
      <c r="E28" s="20" t="s">
        <v>44</v>
      </c>
      <c r="F28" s="19"/>
      <c r="G28" s="4"/>
      <c r="H28" s="4"/>
      <c r="I28" s="4"/>
    </row>
    <row r="29" ht="14.25" customHeight="1">
      <c r="A29" s="4" t="s">
        <v>74</v>
      </c>
      <c r="B29" s="32" t="s">
        <v>2610</v>
      </c>
      <c r="C29" s="32" t="s">
        <v>76</v>
      </c>
      <c r="D29" s="199">
        <v>35.0</v>
      </c>
      <c r="E29" s="58">
        <f>IFERROR(__xludf.DUMMYFUNCTION("IF(ISNUMBER(D29), ROUND(D29 * GOOGLEFINANCE(""CURRENCY:EURINR""), 2), """")"),3840.8)</f>
        <v>3840.8</v>
      </c>
      <c r="F29" s="19"/>
      <c r="G29" s="4"/>
      <c r="H29" s="4"/>
      <c r="I29" s="4" t="s">
        <v>78</v>
      </c>
    </row>
    <row r="30" ht="14.25" customHeight="1">
      <c r="A30" s="4" t="s">
        <v>74</v>
      </c>
      <c r="B30" s="32" t="s">
        <v>2611</v>
      </c>
      <c r="C30" s="32" t="s">
        <v>76</v>
      </c>
      <c r="D30" s="199">
        <v>45.0</v>
      </c>
      <c r="E30" s="58">
        <f>IFERROR(__xludf.DUMMYFUNCTION("IF(ISNUMBER(D30), ROUND(D30 * GOOGLEFINANCE(""CURRENCY:EURINR""), 2), """")"),4938.17)</f>
        <v>4938.17</v>
      </c>
      <c r="F30" s="19"/>
      <c r="G30" s="4"/>
      <c r="H30" s="4"/>
      <c r="I30" s="4" t="s">
        <v>78</v>
      </c>
    </row>
    <row r="31" ht="14.25" customHeight="1">
      <c r="A31" s="4" t="s">
        <v>74</v>
      </c>
      <c r="B31" s="32" t="s">
        <v>2612</v>
      </c>
      <c r="C31" s="32" t="s">
        <v>76</v>
      </c>
      <c r="D31" s="199">
        <v>45.0</v>
      </c>
      <c r="E31" s="58">
        <f>IFERROR(__xludf.DUMMYFUNCTION("IF(ISNUMBER(D31), ROUND(D31 * GOOGLEFINANCE(""CURRENCY:EURINR""), 2), """")"),4938.17)</f>
        <v>4938.17</v>
      </c>
      <c r="F31" s="19"/>
      <c r="G31" s="4"/>
      <c r="H31" s="4"/>
      <c r="I31" s="4" t="s">
        <v>78</v>
      </c>
    </row>
    <row r="32" ht="14.25" customHeight="1">
      <c r="A32" s="4" t="s">
        <v>74</v>
      </c>
      <c r="B32" s="32" t="s">
        <v>2613</v>
      </c>
      <c r="C32" s="32" t="s">
        <v>76</v>
      </c>
      <c r="D32" s="199">
        <v>50.0</v>
      </c>
      <c r="E32" s="58">
        <f>IFERROR(__xludf.DUMMYFUNCTION("IF(ISNUMBER(D32), ROUND(D32 * GOOGLEFINANCE(""CURRENCY:EURINR""), 2), """")"),5486.85)</f>
        <v>5486.85</v>
      </c>
      <c r="F32" s="19"/>
      <c r="G32" s="4"/>
      <c r="H32" s="4"/>
      <c r="I32" s="4" t="s">
        <v>78</v>
      </c>
    </row>
    <row r="33" ht="14.25" customHeight="1">
      <c r="A33" s="4" t="s">
        <v>74</v>
      </c>
      <c r="B33" s="32" t="s">
        <v>2614</v>
      </c>
      <c r="C33" s="32" t="s">
        <v>76</v>
      </c>
      <c r="D33" s="199">
        <v>40.0</v>
      </c>
      <c r="E33" s="58">
        <f>IFERROR(__xludf.DUMMYFUNCTION("IF(ISNUMBER(D33), ROUND(D33 * GOOGLEFINANCE(""CURRENCY:EURINR""), 2), """")"),4389.48)</f>
        <v>4389.48</v>
      </c>
      <c r="F33" s="19"/>
      <c r="G33" s="4"/>
      <c r="H33" s="4"/>
      <c r="I33" s="4" t="s">
        <v>78</v>
      </c>
    </row>
    <row r="34" ht="14.25" customHeight="1">
      <c r="A34" s="4" t="s">
        <v>74</v>
      </c>
      <c r="B34" s="32" t="s">
        <v>2615</v>
      </c>
      <c r="C34" s="32" t="s">
        <v>76</v>
      </c>
      <c r="D34" s="199">
        <v>45.0</v>
      </c>
      <c r="E34" s="58">
        <f>IFERROR(__xludf.DUMMYFUNCTION("IF(ISNUMBER(D34), ROUND(D34 * GOOGLEFINANCE(""CURRENCY:EURINR""), 2), """")"),4938.17)</f>
        <v>4938.17</v>
      </c>
      <c r="F34" s="19"/>
      <c r="G34" s="4"/>
      <c r="H34" s="4"/>
      <c r="I34" s="4" t="s">
        <v>78</v>
      </c>
    </row>
    <row r="35" ht="14.25" customHeight="1">
      <c r="A35" s="4" t="s">
        <v>74</v>
      </c>
      <c r="B35" s="8" t="s">
        <v>2616</v>
      </c>
      <c r="C35" s="32" t="s">
        <v>76</v>
      </c>
      <c r="D35" s="199">
        <v>40.0</v>
      </c>
      <c r="E35" s="58">
        <f>IFERROR(__xludf.DUMMYFUNCTION("IF(ISNUMBER(D35), ROUND(D35 * GOOGLEFINANCE(""CURRENCY:EURINR""), 2), """")"),4389.48)</f>
        <v>4389.48</v>
      </c>
    </row>
    <row r="36" ht="14.25" customHeight="1">
      <c r="A36" s="4" t="s">
        <v>74</v>
      </c>
      <c r="B36" s="8" t="s">
        <v>2617</v>
      </c>
      <c r="C36" s="32" t="s">
        <v>76</v>
      </c>
      <c r="D36" s="199">
        <v>35.0</v>
      </c>
      <c r="E36" s="58">
        <f>IFERROR(__xludf.DUMMYFUNCTION("IF(ISNUMBER(D36), ROUND(D36 * GOOGLEFINANCE(""CURRENCY:EURINR""), 2), """")"),3840.8)</f>
        <v>3840.8</v>
      </c>
    </row>
    <row r="37" ht="14.25" customHeight="1">
      <c r="A37" s="4" t="s">
        <v>74</v>
      </c>
      <c r="B37" s="8" t="s">
        <v>2618</v>
      </c>
      <c r="C37" s="32" t="s">
        <v>76</v>
      </c>
      <c r="D37" s="199">
        <v>35.0</v>
      </c>
      <c r="E37" s="58">
        <f>IFERROR(__xludf.DUMMYFUNCTION("IF(ISNUMBER(D37), ROUND(D37 * GOOGLEFINANCE(""CURRENCY:EURINR""), 2), """")"),3840.8)</f>
        <v>3840.8</v>
      </c>
    </row>
    <row r="38" ht="14.25" customHeight="1">
      <c r="A38" s="4" t="s">
        <v>74</v>
      </c>
      <c r="B38" s="8" t="s">
        <v>2620</v>
      </c>
      <c r="C38" s="32" t="s">
        <v>76</v>
      </c>
      <c r="D38" s="199">
        <v>45.0</v>
      </c>
      <c r="E38" s="58">
        <f>IFERROR(__xludf.DUMMYFUNCTION("IF(ISNUMBER(D38), ROUND(D38 * GOOGLEFINANCE(""CURRENCY:EURINR""), 2), """")"),4938.17)</f>
        <v>4938.17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2605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2606</v>
      </c>
    </row>
    <row r="4" ht="14.25" customHeight="1">
      <c r="A4" s="9" t="s">
        <v>19</v>
      </c>
      <c r="B4" s="8" t="s">
        <v>2607</v>
      </c>
    </row>
    <row r="5" ht="14.25" customHeight="1">
      <c r="A5" s="7" t="s">
        <v>24</v>
      </c>
      <c r="B5" s="8" t="s">
        <v>2608</v>
      </c>
    </row>
    <row r="6" ht="14.25" customHeight="1">
      <c r="A6" s="9" t="s">
        <v>2609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2619</v>
      </c>
      <c r="C29" s="21" t="s">
        <v>76</v>
      </c>
      <c r="D29" s="23">
        <v>12.0</v>
      </c>
      <c r="E29" s="24">
        <v>1133.89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2621</v>
      </c>
      <c r="C30" s="25" t="s">
        <v>76</v>
      </c>
      <c r="D30" s="27">
        <v>20.0</v>
      </c>
      <c r="E30" s="28">
        <v>1889.81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2622</v>
      </c>
      <c r="C31" s="25" t="s">
        <v>76</v>
      </c>
      <c r="D31" s="27">
        <v>18.0</v>
      </c>
      <c r="E31" s="28">
        <v>1700.83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2623</v>
      </c>
      <c r="C32" s="25" t="s">
        <v>76</v>
      </c>
      <c r="D32" s="27">
        <v>25.0</v>
      </c>
      <c r="E32" s="28">
        <v>2362.26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2624</v>
      </c>
      <c r="C33" s="37" t="s">
        <v>76</v>
      </c>
      <c r="D33" s="39">
        <v>50.0</v>
      </c>
      <c r="E33" s="40">
        <v>4724.53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2625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2626</v>
      </c>
    </row>
    <row r="4" ht="14.25" customHeight="1">
      <c r="A4" s="9" t="s">
        <v>19</v>
      </c>
      <c r="B4" s="8" t="s">
        <v>2607</v>
      </c>
    </row>
    <row r="5" ht="14.25" customHeight="1">
      <c r="A5" s="7" t="s">
        <v>24</v>
      </c>
      <c r="B5" s="8" t="s">
        <v>2608</v>
      </c>
    </row>
    <row r="6" ht="14.25" customHeight="1">
      <c r="A6" s="9" t="s">
        <v>2609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2627</v>
      </c>
      <c r="C29" s="21" t="s">
        <v>76</v>
      </c>
      <c r="D29" s="23">
        <v>14.0</v>
      </c>
      <c r="E29" s="24">
        <v>1322.87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2628</v>
      </c>
      <c r="C30" s="25" t="s">
        <v>76</v>
      </c>
      <c r="D30" s="27">
        <v>14.0</v>
      </c>
      <c r="E30" s="28">
        <v>1322.87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2629</v>
      </c>
      <c r="C31" s="25" t="s">
        <v>76</v>
      </c>
      <c r="D31" s="27">
        <v>5.0</v>
      </c>
      <c r="E31" s="28">
        <v>472.45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2630</v>
      </c>
      <c r="C32" s="25" t="s">
        <v>76</v>
      </c>
      <c r="D32" s="27">
        <v>14.0</v>
      </c>
      <c r="E32" s="28">
        <v>1322.87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2631</v>
      </c>
      <c r="C33" s="25" t="s">
        <v>76</v>
      </c>
      <c r="D33" s="27">
        <v>9.0</v>
      </c>
      <c r="E33" s="28">
        <v>850.41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2632</v>
      </c>
      <c r="C34" s="25" t="s">
        <v>76</v>
      </c>
      <c r="D34" s="27">
        <v>15.0</v>
      </c>
      <c r="E34" s="28">
        <v>1417.36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37" t="s">
        <v>74</v>
      </c>
      <c r="B35" s="29" t="s">
        <v>2633</v>
      </c>
      <c r="C35" s="37" t="s">
        <v>76</v>
      </c>
      <c r="D35" s="39">
        <v>14.0</v>
      </c>
      <c r="E35" s="40">
        <v>1322.87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5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2634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2635</v>
      </c>
    </row>
    <row r="4" ht="14.25" customHeight="1">
      <c r="A4" s="9" t="s">
        <v>19</v>
      </c>
      <c r="B4" s="8" t="s">
        <v>2607</v>
      </c>
    </row>
    <row r="5" ht="14.25" customHeight="1">
      <c r="A5" s="7" t="s">
        <v>24</v>
      </c>
      <c r="B5" s="8" t="s">
        <v>2608</v>
      </c>
    </row>
    <row r="6" ht="14.25" customHeight="1">
      <c r="A6" s="9" t="s">
        <v>2609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2636</v>
      </c>
      <c r="C29" s="21" t="s">
        <v>76</v>
      </c>
      <c r="D29" s="23">
        <v>55.0</v>
      </c>
      <c r="E29" s="24">
        <v>5196.98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2637</v>
      </c>
      <c r="C30" s="25" t="s">
        <v>76</v>
      </c>
      <c r="D30" s="27">
        <v>15.0</v>
      </c>
      <c r="E30" s="28">
        <v>1417.36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2638</v>
      </c>
      <c r="C31" s="25" t="s">
        <v>76</v>
      </c>
      <c r="D31" s="27">
        <v>55.0</v>
      </c>
      <c r="E31" s="28">
        <v>5196.98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2639</v>
      </c>
      <c r="C32" s="25" t="s">
        <v>76</v>
      </c>
      <c r="D32" s="27">
        <v>55.0</v>
      </c>
      <c r="E32" s="28">
        <v>5196.98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2640</v>
      </c>
      <c r="C33" s="25" t="s">
        <v>76</v>
      </c>
      <c r="D33" s="27">
        <v>15.0</v>
      </c>
      <c r="E33" s="28">
        <v>1417.36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2641</v>
      </c>
      <c r="C34" s="25" t="s">
        <v>76</v>
      </c>
      <c r="D34" s="27">
        <v>15.0</v>
      </c>
      <c r="E34" s="28">
        <v>1417.36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2642</v>
      </c>
      <c r="C35" s="25" t="s">
        <v>76</v>
      </c>
      <c r="D35" s="27">
        <v>15.0</v>
      </c>
      <c r="E35" s="28">
        <v>1417.36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2643</v>
      </c>
      <c r="C36" s="25" t="s">
        <v>76</v>
      </c>
      <c r="D36" s="27">
        <v>45.0</v>
      </c>
      <c r="E36" s="28">
        <v>4252.07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2644</v>
      </c>
      <c r="C37" s="25" t="s">
        <v>76</v>
      </c>
      <c r="D37" s="27">
        <v>15.0</v>
      </c>
      <c r="E37" s="28">
        <v>1417.36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2645</v>
      </c>
      <c r="C38" s="25" t="s">
        <v>76</v>
      </c>
      <c r="D38" s="27">
        <v>55.0</v>
      </c>
      <c r="E38" s="28">
        <v>5196.98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9" t="s">
        <v>2646</v>
      </c>
      <c r="C39" s="25" t="s">
        <v>76</v>
      </c>
      <c r="D39" s="27">
        <v>15.0</v>
      </c>
      <c r="E39" s="28">
        <v>1417.36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B40" s="4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2647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2648</v>
      </c>
    </row>
    <row r="4" ht="14.25" customHeight="1">
      <c r="A4" s="9" t="s">
        <v>19</v>
      </c>
      <c r="B4" s="8" t="s">
        <v>2607</v>
      </c>
    </row>
    <row r="5" ht="14.25" customHeight="1">
      <c r="A5" s="7" t="s">
        <v>24</v>
      </c>
      <c r="B5" s="8" t="s">
        <v>2608</v>
      </c>
    </row>
    <row r="6" ht="14.25" customHeight="1">
      <c r="A6" s="9" t="s">
        <v>2609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2650</v>
      </c>
      <c r="C29" s="21" t="s">
        <v>76</v>
      </c>
      <c r="D29" s="23">
        <v>55.0</v>
      </c>
      <c r="E29" s="24">
        <v>5196.98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2655</v>
      </c>
      <c r="C30" s="25" t="s">
        <v>76</v>
      </c>
      <c r="D30" s="27">
        <v>9.0</v>
      </c>
      <c r="E30" s="28">
        <v>850.41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2656</v>
      </c>
      <c r="C31" s="25" t="s">
        <v>76</v>
      </c>
      <c r="D31" s="27">
        <v>9.0</v>
      </c>
      <c r="E31" s="28">
        <v>850.41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2657</v>
      </c>
      <c r="C32" s="25" t="s">
        <v>76</v>
      </c>
      <c r="D32" s="27">
        <v>15.0</v>
      </c>
      <c r="E32" s="28">
        <v>1417.36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2659</v>
      </c>
      <c r="C33" s="25" t="s">
        <v>76</v>
      </c>
      <c r="D33" s="27">
        <v>55.0</v>
      </c>
      <c r="E33" s="28">
        <v>5196.98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2660</v>
      </c>
      <c r="C34" s="25" t="s">
        <v>76</v>
      </c>
      <c r="D34" s="27">
        <v>38.0</v>
      </c>
      <c r="E34" s="28">
        <v>3590.64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2662</v>
      </c>
      <c r="C35" s="25" t="s">
        <v>76</v>
      </c>
      <c r="D35" s="27">
        <v>55.0</v>
      </c>
      <c r="E35" s="28">
        <v>5196.98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2663</v>
      </c>
      <c r="C36" s="25" t="s">
        <v>76</v>
      </c>
      <c r="D36" s="27">
        <v>55.0</v>
      </c>
      <c r="E36" s="28">
        <v>5196.98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9" t="s">
        <v>2664</v>
      </c>
      <c r="C37" s="25" t="s">
        <v>76</v>
      </c>
      <c r="D37" s="27">
        <v>55.0</v>
      </c>
      <c r="E37" s="28">
        <v>5196.98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7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2649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9" t="s">
        <v>10</v>
      </c>
      <c r="B3" s="8" t="s">
        <v>2651</v>
      </c>
    </row>
    <row r="4" ht="14.25" customHeight="1">
      <c r="A4" s="9" t="s">
        <v>19</v>
      </c>
      <c r="B4" s="8" t="s">
        <v>2652</v>
      </c>
    </row>
    <row r="5" ht="14.25" customHeight="1">
      <c r="A5" s="9" t="s">
        <v>24</v>
      </c>
      <c r="B5" s="8" t="s">
        <v>2653</v>
      </c>
    </row>
    <row r="6" ht="14.25" customHeight="1">
      <c r="A6" s="9" t="s">
        <v>2654</v>
      </c>
      <c r="B6" s="214">
        <v>1.0</v>
      </c>
    </row>
    <row r="7" ht="14.25" customHeight="1">
      <c r="A7" s="9" t="s">
        <v>29</v>
      </c>
      <c r="B7" s="8" t="s">
        <v>31</v>
      </c>
    </row>
    <row r="8" ht="14.25" customHeight="1"/>
    <row r="9" ht="14.25" customHeight="1">
      <c r="A9" s="20" t="s">
        <v>33</v>
      </c>
      <c r="B9" s="20" t="s">
        <v>39</v>
      </c>
      <c r="C9" s="20" t="s">
        <v>40</v>
      </c>
      <c r="D9" s="20" t="s">
        <v>42</v>
      </c>
      <c r="E9" s="20" t="s">
        <v>4</v>
      </c>
      <c r="F9" s="13" t="s">
        <v>43</v>
      </c>
      <c r="G9" s="13" t="s">
        <v>44</v>
      </c>
      <c r="H9" s="11"/>
      <c r="I9" s="20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1">
        <v>120.0</v>
      </c>
      <c r="G10" s="52">
        <v>11338.8</v>
      </c>
      <c r="H10" s="4"/>
      <c r="I10" s="32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1">
        <v>90.0</v>
      </c>
      <c r="G11" s="52">
        <v>8504.1</v>
      </c>
      <c r="H11" s="4"/>
      <c r="I11" s="32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1">
        <v>180.0</v>
      </c>
      <c r="G12" s="52">
        <v>17008.2</v>
      </c>
      <c r="H12" s="4"/>
      <c r="I12" s="32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1">
        <v>140.0</v>
      </c>
      <c r="G13" s="52">
        <v>13228.6</v>
      </c>
      <c r="H13" s="4"/>
      <c r="I13" s="32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1">
        <v>320.0</v>
      </c>
      <c r="G14" s="52">
        <v>30236.8</v>
      </c>
      <c r="H14" s="4"/>
      <c r="I14" s="32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1">
        <v>250.0</v>
      </c>
      <c r="G15" s="52">
        <v>23622.5</v>
      </c>
      <c r="H15" s="4"/>
      <c r="I15" s="32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1">
        <v>480.0</v>
      </c>
      <c r="G16" s="52">
        <v>45355.2</v>
      </c>
      <c r="H16" s="4"/>
      <c r="I16" s="32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1">
        <v>380.0</v>
      </c>
      <c r="G17" s="52">
        <v>35906.2</v>
      </c>
      <c r="H17" s="4"/>
      <c r="I17" s="32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1">
        <v>70.0</v>
      </c>
      <c r="G18" s="52">
        <v>6614.3</v>
      </c>
      <c r="H18" s="4"/>
      <c r="I18" s="32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1">
        <v>70.0</v>
      </c>
      <c r="G19" s="52">
        <v>6614.3</v>
      </c>
      <c r="H19" s="4"/>
      <c r="I19" s="32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1">
        <v>60.0</v>
      </c>
      <c r="G20" s="52">
        <v>5669.4</v>
      </c>
      <c r="H20" s="4"/>
      <c r="I20" s="32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1">
        <v>250.0</v>
      </c>
      <c r="G21" s="52">
        <v>23622.5</v>
      </c>
      <c r="H21" s="4"/>
      <c r="I21" s="32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1">
        <v>45.0</v>
      </c>
      <c r="G22" s="52">
        <v>4252.05</v>
      </c>
      <c r="H22" s="4"/>
      <c r="I22" s="32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1">
        <v>25.0</v>
      </c>
      <c r="G23" s="52">
        <v>2362.25</v>
      </c>
      <c r="H23" s="4"/>
      <c r="I23" s="32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1">
        <v>45.0</v>
      </c>
      <c r="G24" s="52">
        <v>4252.05</v>
      </c>
      <c r="H24" s="4"/>
      <c r="I24" s="32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1">
        <v>15.0</v>
      </c>
      <c r="G25" s="52">
        <v>1417.35</v>
      </c>
      <c r="H25" s="4"/>
      <c r="I25" s="32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1">
        <v>8.0</v>
      </c>
      <c r="G26" s="52">
        <v>755.92</v>
      </c>
      <c r="H26" s="4"/>
      <c r="I26" s="32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20" t="s">
        <v>33</v>
      </c>
      <c r="B28" s="20" t="s">
        <v>73</v>
      </c>
      <c r="C28" s="20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53" t="s">
        <v>74</v>
      </c>
      <c r="B29" s="22" t="s">
        <v>2665</v>
      </c>
      <c r="C29" s="53" t="s">
        <v>76</v>
      </c>
      <c r="D29" s="53">
        <v>220.0</v>
      </c>
      <c r="E29" s="53">
        <v>20787.8</v>
      </c>
      <c r="F29" s="38"/>
      <c r="G29" s="21"/>
      <c r="H29" s="21"/>
      <c r="I29" s="53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55" t="s">
        <v>74</v>
      </c>
      <c r="B30" s="26" t="s">
        <v>2666</v>
      </c>
      <c r="C30" s="55" t="s">
        <v>76</v>
      </c>
      <c r="D30" s="55">
        <v>50.0</v>
      </c>
      <c r="E30" s="55">
        <v>4724.5</v>
      </c>
      <c r="F30" s="44"/>
      <c r="G30" s="25"/>
      <c r="H30" s="25"/>
      <c r="I30" s="5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59" t="s">
        <v>74</v>
      </c>
      <c r="B31" s="29" t="s">
        <v>2667</v>
      </c>
      <c r="C31" s="59" t="s">
        <v>76</v>
      </c>
      <c r="D31" s="59">
        <v>235.0</v>
      </c>
      <c r="E31" s="59">
        <v>22205.15</v>
      </c>
      <c r="F31" s="50"/>
      <c r="G31" s="37"/>
      <c r="H31" s="37"/>
      <c r="I31" s="59" t="s">
        <v>78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$A$9:$I$3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2658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9" t="s">
        <v>10</v>
      </c>
      <c r="B3" s="8" t="s">
        <v>2661</v>
      </c>
    </row>
    <row r="4" ht="14.25" customHeight="1">
      <c r="A4" s="9" t="s">
        <v>19</v>
      </c>
      <c r="B4" s="8" t="s">
        <v>2652</v>
      </c>
    </row>
    <row r="5" ht="14.25" customHeight="1">
      <c r="A5" s="9" t="s">
        <v>24</v>
      </c>
      <c r="B5" s="8" t="s">
        <v>2653</v>
      </c>
    </row>
    <row r="6" ht="14.25" customHeight="1">
      <c r="A6" s="9" t="s">
        <v>2654</v>
      </c>
      <c r="B6" s="214">
        <v>1.0</v>
      </c>
    </row>
    <row r="7" ht="14.25" customHeight="1">
      <c r="A7" s="9" t="s">
        <v>29</v>
      </c>
      <c r="B7" s="8" t="s">
        <v>31</v>
      </c>
    </row>
    <row r="8" ht="14.25" customHeight="1"/>
    <row r="9" ht="14.25" customHeight="1">
      <c r="A9" s="20" t="s">
        <v>33</v>
      </c>
      <c r="B9" s="20" t="s">
        <v>39</v>
      </c>
      <c r="C9" s="20" t="s">
        <v>40</v>
      </c>
      <c r="D9" s="20" t="s">
        <v>42</v>
      </c>
      <c r="E9" s="20" t="s">
        <v>4</v>
      </c>
      <c r="F9" s="13" t="s">
        <v>43</v>
      </c>
      <c r="G9" s="13" t="s">
        <v>44</v>
      </c>
      <c r="H9" s="11"/>
      <c r="I9" s="20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1">
        <v>120.0</v>
      </c>
      <c r="G10" s="52">
        <v>11338.8</v>
      </c>
      <c r="H10" s="4"/>
      <c r="I10" s="32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1">
        <v>90.0</v>
      </c>
      <c r="G11" s="52">
        <v>8504.1</v>
      </c>
      <c r="H11" s="4"/>
      <c r="I11" s="32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1">
        <v>180.0</v>
      </c>
      <c r="G12" s="52">
        <v>17008.2</v>
      </c>
      <c r="H12" s="4"/>
      <c r="I12" s="32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1">
        <v>140.0</v>
      </c>
      <c r="G13" s="52">
        <v>13228.6</v>
      </c>
      <c r="H13" s="4"/>
      <c r="I13" s="32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1">
        <v>320.0</v>
      </c>
      <c r="G14" s="52">
        <v>30236.8</v>
      </c>
      <c r="H14" s="4"/>
      <c r="I14" s="32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1">
        <v>250.0</v>
      </c>
      <c r="G15" s="52">
        <v>23622.5</v>
      </c>
      <c r="H15" s="4"/>
      <c r="I15" s="32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1">
        <v>480.0</v>
      </c>
      <c r="G16" s="52">
        <v>45355.2</v>
      </c>
      <c r="H16" s="4"/>
      <c r="I16" s="32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1">
        <v>380.0</v>
      </c>
      <c r="G17" s="52">
        <v>35906.2</v>
      </c>
      <c r="H17" s="4"/>
      <c r="I17" s="32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1">
        <v>70.0</v>
      </c>
      <c r="G18" s="52">
        <v>6614.3</v>
      </c>
      <c r="H18" s="4"/>
      <c r="I18" s="32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1">
        <v>70.0</v>
      </c>
      <c r="G19" s="52">
        <v>6614.3</v>
      </c>
      <c r="H19" s="4"/>
      <c r="I19" s="32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1">
        <v>60.0</v>
      </c>
      <c r="G20" s="52">
        <v>5669.4</v>
      </c>
      <c r="H20" s="4"/>
      <c r="I20" s="32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1">
        <v>250.0</v>
      </c>
      <c r="G21" s="52">
        <v>23622.5</v>
      </c>
      <c r="H21" s="4"/>
      <c r="I21" s="32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1">
        <v>45.0</v>
      </c>
      <c r="G22" s="52">
        <v>4252.05</v>
      </c>
      <c r="H22" s="4"/>
      <c r="I22" s="32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1">
        <v>25.0</v>
      </c>
      <c r="G23" s="52">
        <v>2362.25</v>
      </c>
      <c r="H23" s="4"/>
      <c r="I23" s="32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1">
        <v>45.0</v>
      </c>
      <c r="G24" s="52">
        <v>4252.05</v>
      </c>
      <c r="H24" s="4"/>
      <c r="I24" s="32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1">
        <v>15.0</v>
      </c>
      <c r="G25" s="52">
        <v>1417.35</v>
      </c>
      <c r="H25" s="4"/>
      <c r="I25" s="32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1">
        <v>8.0</v>
      </c>
      <c r="G26" s="52">
        <v>755.92</v>
      </c>
      <c r="H26" s="4"/>
      <c r="I26" s="32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20" t="s">
        <v>33</v>
      </c>
      <c r="B28" s="20" t="s">
        <v>73</v>
      </c>
      <c r="C28" s="20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53" t="s">
        <v>74</v>
      </c>
      <c r="B29" s="22" t="s">
        <v>2668</v>
      </c>
      <c r="C29" s="53" t="s">
        <v>76</v>
      </c>
      <c r="D29" s="53">
        <v>98.0</v>
      </c>
      <c r="E29" s="53">
        <v>9260.02</v>
      </c>
      <c r="F29" s="38"/>
      <c r="G29" s="21"/>
      <c r="H29" s="21"/>
      <c r="I29" s="53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55" t="s">
        <v>74</v>
      </c>
      <c r="B30" s="26" t="s">
        <v>2669</v>
      </c>
      <c r="C30" s="55" t="s">
        <v>76</v>
      </c>
      <c r="D30" s="55">
        <v>100.0</v>
      </c>
      <c r="E30" s="55">
        <v>9449.0</v>
      </c>
      <c r="F30" s="44"/>
      <c r="G30" s="25"/>
      <c r="H30" s="25"/>
      <c r="I30" s="5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59" t="s">
        <v>74</v>
      </c>
      <c r="B31" s="29" t="s">
        <v>2670</v>
      </c>
      <c r="C31" s="59" t="s">
        <v>76</v>
      </c>
      <c r="D31" s="59">
        <v>125.0</v>
      </c>
      <c r="E31" s="59">
        <v>11811.25</v>
      </c>
      <c r="F31" s="50"/>
      <c r="G31" s="37"/>
      <c r="H31" s="37"/>
      <c r="I31" s="59" t="s">
        <v>78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$A$9:$I$3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2671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2672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2673</v>
      </c>
      <c r="C29" s="21" t="s">
        <v>76</v>
      </c>
      <c r="D29" s="130">
        <v>75.0</v>
      </c>
      <c r="E29" s="172">
        <f>IFERROR(__xludf.DUMMYFUNCTION("IF(ISNUMBER(D29), ROUND(D29 * GOOGLEFINANCE(""CURRENCY:EURINR""), 2), """")"),8230.28)</f>
        <v>8230.28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2674</v>
      </c>
      <c r="C30" s="25" t="s">
        <v>76</v>
      </c>
      <c r="D30" s="131">
        <v>75.0</v>
      </c>
      <c r="E30" s="173">
        <f>IFERROR(__xludf.DUMMYFUNCTION("IF(ISNUMBER(D30), ROUND(D30 * GOOGLEFINANCE(""CURRENCY:EURINR""), 2), """")"),8230.28)</f>
        <v>8230.28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37" t="s">
        <v>74</v>
      </c>
      <c r="B31" s="29" t="s">
        <v>2675</v>
      </c>
      <c r="C31" s="37" t="s">
        <v>76</v>
      </c>
      <c r="D31" s="133">
        <v>75.0</v>
      </c>
      <c r="E31" s="174">
        <f>IFERROR(__xludf.DUMMYFUNCTION("IF(ISNUMBER(D31), ROUND(D31 * GOOGLEFINANCE(""CURRENCY:EURINR""), 2), """")"),8230.28)</f>
        <v>8230.28</v>
      </c>
      <c r="F31" s="50"/>
      <c r="G31" s="37"/>
      <c r="H31" s="37"/>
      <c r="I31" s="37" t="s">
        <v>78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$A$9:$I$3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2676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2677</v>
      </c>
    </row>
    <row r="4" ht="14.25" customHeight="1">
      <c r="A4" s="9" t="s">
        <v>19</v>
      </c>
      <c r="B4" s="8" t="s">
        <v>2254</v>
      </c>
    </row>
    <row r="5" ht="14.25" customHeight="1">
      <c r="A5" s="7" t="s">
        <v>24</v>
      </c>
      <c r="B5" s="10" t="s">
        <v>2255</v>
      </c>
    </row>
    <row r="6" ht="14.25" customHeight="1">
      <c r="A6" s="7" t="s">
        <v>1522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2256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87">
        <v>193.0</v>
      </c>
      <c r="G10" s="127">
        <f>IFERROR(__xludf.DUMMYFUNCTION("IF(ISNUMBER(F10), ROUND(F10 * GOOGLEFINANCE(""CURRENCY:EURINR""), 2), """")"),21179.24)</f>
        <v>21179.24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87">
        <v>142.0</v>
      </c>
      <c r="G11" s="127">
        <f>IFERROR(__xludf.DUMMYFUNCTION("IF(ISNUMBER(F11), ROUND(F11 * GOOGLEFINANCE(""CURRENCY:EURINR""), 2), """")"),15582.65)</f>
        <v>15582.65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87">
        <v>283.0</v>
      </c>
      <c r="G12" s="127">
        <f>IFERROR(__xludf.DUMMYFUNCTION("IF(ISNUMBER(F12), ROUND(F12 * GOOGLEFINANCE(""CURRENCY:EURINR""), 2), """")"),31055.57)</f>
        <v>31055.57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87">
        <v>206.0</v>
      </c>
      <c r="G13" s="127">
        <f>IFERROR(__xludf.DUMMYFUNCTION("IF(ISNUMBER(F13), ROUND(F13 * GOOGLEFINANCE(""CURRENCY:EURINR""), 2), """")"),22605.82)</f>
        <v>22605.82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87">
        <v>451.0</v>
      </c>
      <c r="G14" s="127">
        <f>IFERROR(__xludf.DUMMYFUNCTION("IF(ISNUMBER(F14), ROUND(F14 * GOOGLEFINANCE(""CURRENCY:EURINR""), 2), """")"),49491.39)</f>
        <v>49491.39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87">
        <v>322.0</v>
      </c>
      <c r="G15" s="127">
        <f>IFERROR(__xludf.DUMMYFUNCTION("IF(ISNUMBER(F15), ROUND(F15 * GOOGLEFINANCE(""CURRENCY:EURINR""), 2), """")"),35335.31)</f>
        <v>35335.31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87">
        <v>451.0</v>
      </c>
      <c r="G16" s="127">
        <f>IFERROR(__xludf.DUMMYFUNCTION("IF(ISNUMBER(F16), ROUND(F16 * GOOGLEFINANCE(""CURRENCY:EURINR""), 2), """")"),49491.39)</f>
        <v>49491.39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87">
        <v>322.0</v>
      </c>
      <c r="G17" s="127">
        <f>IFERROR(__xludf.DUMMYFUNCTION("IF(ISNUMBER(F17), ROUND(F17 * GOOGLEFINANCE(""CURRENCY:EURINR""), 2), """")"),35335.31)</f>
        <v>35335.31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87">
        <v>90.0</v>
      </c>
      <c r="G18" s="127">
        <f>IFERROR(__xludf.DUMMYFUNCTION("IF(ISNUMBER(F18), ROUND(F18 * GOOGLEFINANCE(""CURRENCY:EURINR""), 2), """")"),9876.33)</f>
        <v>9876.33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87">
        <v>90.0</v>
      </c>
      <c r="G19" s="127">
        <f>IFERROR(__xludf.DUMMYFUNCTION("IF(ISNUMBER(F19), ROUND(F19 * GOOGLEFINANCE(""CURRENCY:EURINR""), 2), """")"),9876.33)</f>
        <v>9876.33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87">
        <v>77.0</v>
      </c>
      <c r="G20" s="127">
        <f>IFERROR(__xludf.DUMMYFUNCTION("IF(ISNUMBER(F20), ROUND(F20 * GOOGLEFINANCE(""CURRENCY:EURINR""), 2), """")"),8449.75)</f>
        <v>8449.75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87">
        <v>322.0</v>
      </c>
      <c r="G21" s="127">
        <f>IFERROR(__xludf.DUMMYFUNCTION("IF(ISNUMBER(F21), ROUND(F21 * GOOGLEFINANCE(""CURRENCY:EURINR""), 2), """")"),35335.31)</f>
        <v>35335.31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87">
        <v>52.0</v>
      </c>
      <c r="G22" s="127">
        <f>IFERROR(__xludf.DUMMYFUNCTION("IF(ISNUMBER(F22), ROUND(F22 * GOOGLEFINANCE(""CURRENCY:EURINR""), 2), """")"),5706.32)</f>
        <v>5706.32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87">
        <v>39.0</v>
      </c>
      <c r="G23" s="127">
        <f>IFERROR(__xludf.DUMMYFUNCTION("IF(ISNUMBER(F23), ROUND(F23 * GOOGLEFINANCE(""CURRENCY:EURINR""), 2), """")"),4279.74)</f>
        <v>4279.74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87">
        <v>64.0</v>
      </c>
      <c r="G24" s="127">
        <f>IFERROR(__xludf.DUMMYFUNCTION("IF(ISNUMBER(F24), ROUND(F24 * GOOGLEFINANCE(""CURRENCY:EURINR""), 2), """")"),7023.17)</f>
        <v>7023.17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87">
        <v>19.0</v>
      </c>
      <c r="G25" s="127">
        <f>IFERROR(__xludf.DUMMYFUNCTION("IF(ISNUMBER(F25), ROUND(F25 * GOOGLEFINANCE(""CURRENCY:EURINR""), 2), """")"),2085.0)</f>
        <v>2085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87">
        <v>10.0</v>
      </c>
      <c r="G26" s="127">
        <f>IFERROR(__xludf.DUMMYFUNCTION("IF(ISNUMBER(F26), ROUND(F26 * GOOGLEFINANCE(""CURRENCY:EURINR""), 2), """")"),1097.37)</f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2256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2680</v>
      </c>
      <c r="C29" s="21" t="s">
        <v>76</v>
      </c>
      <c r="D29" s="130">
        <v>30.0</v>
      </c>
      <c r="E29" s="172">
        <f>IFERROR(__xludf.DUMMYFUNCTION("IF(ISNUMBER(D29), ROUND(D29 * GOOGLEFINANCE(""CURRENCY:EURINR""), 2), """")"),3292.11)</f>
        <v>3292.11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2685</v>
      </c>
      <c r="C30" s="25" t="s">
        <v>76</v>
      </c>
      <c r="D30" s="131">
        <v>35.0</v>
      </c>
      <c r="E30" s="173">
        <f>IFERROR(__xludf.DUMMYFUNCTION("IF(ISNUMBER(D30), ROUND(D30 * GOOGLEFINANCE(""CURRENCY:EURINR""), 2), """")"),3840.8)</f>
        <v>3840.8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37" t="s">
        <v>74</v>
      </c>
      <c r="B31" s="29" t="s">
        <v>2687</v>
      </c>
      <c r="C31" s="37" t="s">
        <v>76</v>
      </c>
      <c r="D31" s="133">
        <v>45.0</v>
      </c>
      <c r="E31" s="174">
        <f>IFERROR(__xludf.DUMMYFUNCTION("IF(ISNUMBER(D31), ROUND(D31 * GOOGLEFINANCE(""CURRENCY:EURINR""), 2), """")"),4938.17)</f>
        <v>4938.17</v>
      </c>
      <c r="F31" s="50"/>
      <c r="G31" s="37"/>
      <c r="H31" s="37"/>
      <c r="I31" s="37" t="s">
        <v>78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$A$9:$I$3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2678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2679</v>
      </c>
    </row>
    <row r="4" ht="14.25" customHeight="1">
      <c r="A4" s="9" t="s">
        <v>19</v>
      </c>
      <c r="B4" s="8" t="s">
        <v>2681</v>
      </c>
    </row>
    <row r="5" ht="14.25" customHeight="1">
      <c r="A5" s="7" t="s">
        <v>24</v>
      </c>
      <c r="B5" s="8" t="s">
        <v>2682</v>
      </c>
    </row>
    <row r="6" ht="14.25" customHeight="1">
      <c r="A6" s="9" t="s">
        <v>2683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1">
        <v>185.0</v>
      </c>
      <c r="G10" s="52">
        <v>20301.34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1">
        <v>135.0</v>
      </c>
      <c r="G11" s="52">
        <v>14814.5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1">
        <v>275.0</v>
      </c>
      <c r="G12" s="52">
        <v>30177.68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1">
        <v>200.0</v>
      </c>
      <c r="G13" s="52">
        <v>21947.4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1">
        <v>435.0</v>
      </c>
      <c r="G14" s="52">
        <v>47735.6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1">
        <v>310.0</v>
      </c>
      <c r="G15" s="52">
        <v>34018.47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1">
        <v>495.0</v>
      </c>
      <c r="G16" s="52">
        <v>54319.81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1">
        <v>375.0</v>
      </c>
      <c r="G17" s="52">
        <v>41151.38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1">
        <v>85.0</v>
      </c>
      <c r="G18" s="52">
        <v>9327.65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1">
        <v>85.0</v>
      </c>
      <c r="G19" s="52">
        <v>9327.65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1">
        <v>75.0</v>
      </c>
      <c r="G20" s="52">
        <v>8230.28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1">
        <v>310.0</v>
      </c>
      <c r="G21" s="52">
        <v>34018.47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1">
        <v>50.0</v>
      </c>
      <c r="G22" s="52">
        <v>5486.85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1">
        <v>38.0</v>
      </c>
      <c r="G23" s="52">
        <v>4170.01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1">
        <v>62.0</v>
      </c>
      <c r="G24" s="52">
        <v>6803.69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1">
        <v>18.0</v>
      </c>
      <c r="G25" s="52">
        <v>1975.27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1">
        <v>10.0</v>
      </c>
      <c r="G26" s="52"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53" t="s">
        <v>74</v>
      </c>
      <c r="B29" s="22" t="s">
        <v>2688</v>
      </c>
      <c r="C29" s="53" t="s">
        <v>76</v>
      </c>
      <c r="D29" s="54">
        <v>0.0</v>
      </c>
      <c r="E29" s="54">
        <v>0.0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55" t="s">
        <v>74</v>
      </c>
      <c r="B30" s="26" t="s">
        <v>2689</v>
      </c>
      <c r="C30" s="55" t="s">
        <v>76</v>
      </c>
      <c r="D30" s="56">
        <v>0.0</v>
      </c>
      <c r="E30" s="56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55" t="s">
        <v>74</v>
      </c>
      <c r="B31" s="26" t="s">
        <v>2692</v>
      </c>
      <c r="C31" s="55" t="s">
        <v>76</v>
      </c>
      <c r="D31" s="56">
        <v>15.0</v>
      </c>
      <c r="E31" s="56">
        <v>1646.05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55" t="s">
        <v>74</v>
      </c>
      <c r="B32" s="26" t="s">
        <v>2695</v>
      </c>
      <c r="C32" s="55" t="s">
        <v>76</v>
      </c>
      <c r="D32" s="56">
        <v>0.0</v>
      </c>
      <c r="E32" s="56">
        <v>0.0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55" t="s">
        <v>74</v>
      </c>
      <c r="B33" s="26" t="s">
        <v>2698</v>
      </c>
      <c r="C33" s="55" t="s">
        <v>76</v>
      </c>
      <c r="D33" s="56">
        <v>0.0</v>
      </c>
      <c r="E33" s="56">
        <v>0.0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55" t="s">
        <v>74</v>
      </c>
      <c r="B34" s="26" t="s">
        <v>2701</v>
      </c>
      <c r="C34" s="55" t="s">
        <v>76</v>
      </c>
      <c r="D34" s="56">
        <v>35.0</v>
      </c>
      <c r="E34" s="56">
        <v>3840.79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55" t="s">
        <v>74</v>
      </c>
      <c r="B35" s="26" t="s">
        <v>2703</v>
      </c>
      <c r="C35" s="55" t="s">
        <v>76</v>
      </c>
      <c r="D35" s="56">
        <v>110.0</v>
      </c>
      <c r="E35" s="56">
        <v>12071.07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55" t="s">
        <v>74</v>
      </c>
      <c r="B36" s="26" t="s">
        <v>2704</v>
      </c>
      <c r="C36" s="55" t="s">
        <v>76</v>
      </c>
      <c r="D36" s="56">
        <v>95.0</v>
      </c>
      <c r="E36" s="56">
        <v>10425.02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59" t="s">
        <v>74</v>
      </c>
      <c r="B37" s="29" t="s">
        <v>2705</v>
      </c>
      <c r="C37" s="59" t="s">
        <v>76</v>
      </c>
      <c r="D37" s="60">
        <v>125.0</v>
      </c>
      <c r="E37" s="60">
        <v>13717.13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B38" s="4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2684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2686</v>
      </c>
    </row>
    <row r="4" ht="14.25" customHeight="1">
      <c r="A4" s="9" t="s">
        <v>19</v>
      </c>
      <c r="B4" s="8" t="s">
        <v>2681</v>
      </c>
    </row>
    <row r="5" ht="14.25" customHeight="1">
      <c r="A5" s="7" t="s">
        <v>24</v>
      </c>
      <c r="B5" s="8" t="s">
        <v>2682</v>
      </c>
    </row>
    <row r="6" ht="14.25" customHeight="1">
      <c r="A6" s="9" t="s">
        <v>2683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51">
        <v>185.0</v>
      </c>
      <c r="G10" s="52">
        <v>20301.34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51">
        <v>135.0</v>
      </c>
      <c r="G11" s="52">
        <v>14814.5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51">
        <v>275.0</v>
      </c>
      <c r="G12" s="52">
        <v>30177.68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51">
        <v>200.0</v>
      </c>
      <c r="G13" s="52">
        <v>21947.4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51">
        <v>435.0</v>
      </c>
      <c r="G14" s="52">
        <v>47735.6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51">
        <v>310.0</v>
      </c>
      <c r="G15" s="52">
        <v>34018.47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51">
        <v>495.0</v>
      </c>
      <c r="G16" s="52">
        <v>54319.81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51">
        <v>375.0</v>
      </c>
      <c r="G17" s="52">
        <v>41151.38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51">
        <v>85.0</v>
      </c>
      <c r="G18" s="52">
        <v>9327.65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51">
        <v>85.0</v>
      </c>
      <c r="G19" s="52">
        <v>9327.65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51">
        <v>75.0</v>
      </c>
      <c r="G20" s="52">
        <v>8230.28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51">
        <v>310.0</v>
      </c>
      <c r="G21" s="52">
        <v>34018.47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51">
        <v>50.0</v>
      </c>
      <c r="G22" s="52">
        <v>5486.85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51">
        <v>38.0</v>
      </c>
      <c r="G23" s="52">
        <v>4170.01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51">
        <v>62.0</v>
      </c>
      <c r="G24" s="52">
        <v>6803.69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51">
        <v>18.0</v>
      </c>
      <c r="G25" s="52">
        <v>1975.27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51">
        <v>10.0</v>
      </c>
      <c r="G26" s="52">
        <v>1097.37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32" t="s">
        <v>74</v>
      </c>
      <c r="B29" s="49" t="s">
        <v>2690</v>
      </c>
      <c r="C29" s="32" t="s">
        <v>76</v>
      </c>
      <c r="D29" s="61">
        <v>25.0</v>
      </c>
      <c r="E29" s="61">
        <v>2743.43</v>
      </c>
      <c r="F29" s="19"/>
      <c r="G29" s="4"/>
      <c r="H29" s="4"/>
      <c r="I29" s="4" t="s">
        <v>78</v>
      </c>
    </row>
    <row r="30" ht="14.25" customHeight="1">
      <c r="A30" s="32" t="s">
        <v>74</v>
      </c>
      <c r="B30" s="49" t="s">
        <v>2691</v>
      </c>
      <c r="C30" s="32" t="s">
        <v>76</v>
      </c>
      <c r="D30" s="61">
        <v>25.0</v>
      </c>
      <c r="E30" s="61">
        <v>2743.43</v>
      </c>
      <c r="F30" s="19"/>
      <c r="G30" s="4"/>
      <c r="H30" s="4"/>
      <c r="I30" s="4" t="s">
        <v>78</v>
      </c>
    </row>
    <row r="31" ht="14.25" customHeight="1">
      <c r="A31" s="32" t="s">
        <v>74</v>
      </c>
      <c r="B31" s="49" t="s">
        <v>2693</v>
      </c>
      <c r="C31" s="32" t="s">
        <v>76</v>
      </c>
      <c r="D31" s="61">
        <v>0.0</v>
      </c>
      <c r="E31" s="61">
        <v>0.0</v>
      </c>
      <c r="F31" s="19"/>
      <c r="G31" s="4"/>
      <c r="H31" s="4"/>
      <c r="I31" s="4" t="s">
        <v>78</v>
      </c>
    </row>
    <row r="32" ht="14.25" customHeight="1">
      <c r="A32" s="32" t="s">
        <v>74</v>
      </c>
      <c r="B32" s="49" t="s">
        <v>2694</v>
      </c>
      <c r="C32" s="32" t="s">
        <v>76</v>
      </c>
      <c r="D32" s="61">
        <v>0.0</v>
      </c>
      <c r="E32" s="61">
        <v>0.0</v>
      </c>
      <c r="F32" s="19"/>
      <c r="G32" s="4"/>
      <c r="H32" s="4"/>
      <c r="I32" s="4" t="s">
        <v>78</v>
      </c>
    </row>
    <row r="33" ht="14.25" customHeight="1">
      <c r="A33" s="32" t="s">
        <v>74</v>
      </c>
      <c r="B33" s="49" t="s">
        <v>2696</v>
      </c>
      <c r="C33" s="32" t="s">
        <v>76</v>
      </c>
      <c r="D33" s="61">
        <v>0.0</v>
      </c>
      <c r="E33" s="61">
        <v>0.0</v>
      </c>
      <c r="F33" s="19"/>
      <c r="G33" s="4"/>
      <c r="H33" s="4"/>
      <c r="I33" s="4" t="s">
        <v>78</v>
      </c>
    </row>
    <row r="34" ht="14.25" customHeight="1">
      <c r="A34" s="32" t="s">
        <v>74</v>
      </c>
      <c r="B34" s="49" t="s">
        <v>2697</v>
      </c>
      <c r="C34" s="32" t="s">
        <v>76</v>
      </c>
      <c r="D34" s="61">
        <v>25.0</v>
      </c>
      <c r="E34" s="61">
        <v>2743.43</v>
      </c>
      <c r="F34" s="19"/>
      <c r="G34" s="4"/>
      <c r="H34" s="4"/>
      <c r="I34" s="4" t="s">
        <v>78</v>
      </c>
    </row>
    <row r="35" ht="14.25" customHeight="1">
      <c r="A35" s="32" t="s">
        <v>74</v>
      </c>
      <c r="B35" s="49" t="s">
        <v>2699</v>
      </c>
      <c r="C35" s="32" t="s">
        <v>76</v>
      </c>
      <c r="D35" s="61">
        <v>25.0</v>
      </c>
      <c r="E35" s="61">
        <v>2743.43</v>
      </c>
    </row>
    <row r="36" ht="14.25" customHeight="1">
      <c r="A36" s="32" t="s">
        <v>74</v>
      </c>
      <c r="B36" s="49" t="s">
        <v>2700</v>
      </c>
      <c r="C36" s="32" t="s">
        <v>76</v>
      </c>
      <c r="D36" s="61">
        <v>25.0</v>
      </c>
      <c r="E36" s="61">
        <v>2743.43</v>
      </c>
    </row>
    <row r="37" ht="14.25" customHeight="1">
      <c r="A37" s="32" t="s">
        <v>74</v>
      </c>
      <c r="B37" s="49" t="s">
        <v>2702</v>
      </c>
      <c r="C37" s="32" t="s">
        <v>76</v>
      </c>
      <c r="D37" s="61">
        <v>115.0</v>
      </c>
      <c r="E37" s="61">
        <v>12619.76</v>
      </c>
    </row>
    <row r="38" ht="14.25" customHeight="1">
      <c r="B38" s="4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2706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2707</v>
      </c>
    </row>
    <row r="4" ht="14.25" customHeight="1">
      <c r="A4" s="9" t="s">
        <v>19</v>
      </c>
      <c r="B4" s="8" t="s">
        <v>2708</v>
      </c>
    </row>
    <row r="5" ht="14.25" customHeight="1">
      <c r="A5" s="7" t="s">
        <v>24</v>
      </c>
      <c r="B5" s="8" t="s">
        <v>2709</v>
      </c>
    </row>
    <row r="6" ht="14.25" customHeight="1">
      <c r="A6" s="9" t="s">
        <v>2710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53">
        <v>210.0</v>
      </c>
      <c r="G10" s="154">
        <f>IFERROR(__xludf.DUMMYFUNCTION("IF(ISNUMBER(F10), ROUND(F10 * GOOGLEFINANCE(""CURRENCY:USDINR""), 2), """")"),19843.01)</f>
        <v>19843.01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53">
        <v>154.0</v>
      </c>
      <c r="G11" s="154">
        <f>IFERROR(__xludf.DUMMYFUNCTION("IF(ISNUMBER(F11), ROUND(F11 * GOOGLEFINANCE(""CURRENCY:USDINR""), 2), """")"),14551.54)</f>
        <v>14551.54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53">
        <v>308.0</v>
      </c>
      <c r="G12" s="154">
        <f>IFERROR(__xludf.DUMMYFUNCTION("IF(ISNUMBER(F12), ROUND(F12 * GOOGLEFINANCE(""CURRENCY:USDINR""), 2), """")"),29103.07)</f>
        <v>29103.07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53">
        <v>224.0</v>
      </c>
      <c r="G13" s="154">
        <f>IFERROR(__xludf.DUMMYFUNCTION("IF(ISNUMBER(F13), ROUND(F13 * GOOGLEFINANCE(""CURRENCY:USDINR""), 2), """")"),21165.87)</f>
        <v>21165.87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53">
        <v>490.0</v>
      </c>
      <c r="G14" s="154">
        <f>IFERROR(__xludf.DUMMYFUNCTION("IF(ISNUMBER(F14), ROUND(F14 * GOOGLEFINANCE(""CURRENCY:USDINR""), 2), """")"),46300.35)</f>
        <v>46300.35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53">
        <v>350.0</v>
      </c>
      <c r="G15" s="154">
        <f>IFERROR(__xludf.DUMMYFUNCTION("IF(ISNUMBER(F15), ROUND(F15 * GOOGLEFINANCE(""CURRENCY:USDINR""), 2), """")"),33071.68)</f>
        <v>33071.68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53">
        <v>490.0</v>
      </c>
      <c r="G16" s="154">
        <f>IFERROR(__xludf.DUMMYFUNCTION("IF(ISNUMBER(F16), ROUND(F16 * GOOGLEFINANCE(""CURRENCY:USDINR""), 2), """")"),46300.35)</f>
        <v>46300.35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53">
        <v>350.0</v>
      </c>
      <c r="G17" s="154">
        <f>IFERROR(__xludf.DUMMYFUNCTION("IF(ISNUMBER(F17), ROUND(F17 * GOOGLEFINANCE(""CURRENCY:USDINR""), 2), """")"),33071.68)</f>
        <v>33071.68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53">
        <v>98.0</v>
      </c>
      <c r="G18" s="154">
        <f>IFERROR(__xludf.DUMMYFUNCTION("IF(ISNUMBER(F18), ROUND(F18 * GOOGLEFINANCE(""CURRENCY:USDINR""), 2), """")"),9260.07)</f>
        <v>9260.07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53">
        <v>98.0</v>
      </c>
      <c r="G19" s="154">
        <f>IFERROR(__xludf.DUMMYFUNCTION("IF(ISNUMBER(F19), ROUND(F19 * GOOGLEFINANCE(""CURRENCY:USDINR""), 2), """")"),9260.07)</f>
        <v>9260.07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53">
        <v>84.0</v>
      </c>
      <c r="G20" s="154">
        <f>IFERROR(__xludf.DUMMYFUNCTION("IF(ISNUMBER(F20), ROUND(F20 * GOOGLEFINANCE(""CURRENCY:USDINR""), 2), """")"),7937.2)</f>
        <v>7937.2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53">
        <v>350.0</v>
      </c>
      <c r="G21" s="154">
        <f>IFERROR(__xludf.DUMMYFUNCTION("IF(ISNUMBER(F21), ROUND(F21 * GOOGLEFINANCE(""CURRENCY:USDINR""), 2), """")"),33071.68)</f>
        <v>33071.68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53">
        <v>49.0</v>
      </c>
      <c r="G22" s="154">
        <f>IFERROR(__xludf.DUMMYFUNCTION("IF(ISNUMBER(F22), ROUND(F22 * GOOGLEFINANCE(""CURRENCY:USDINR""), 2), """")"),4630.03)</f>
        <v>4630.03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53">
        <v>42.0</v>
      </c>
      <c r="G23" s="154">
        <f>IFERROR(__xludf.DUMMYFUNCTION("IF(ISNUMBER(F23), ROUND(F23 * GOOGLEFINANCE(""CURRENCY:USDINR""), 2), """")"),3968.6)</f>
        <v>3968.6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53">
        <v>70.0</v>
      </c>
      <c r="G24" s="154">
        <f>IFERROR(__xludf.DUMMYFUNCTION("IF(ISNUMBER(F24), ROUND(F24 * GOOGLEFINANCE(""CURRENCY:USDINR""), 2), """")"),6614.34)</f>
        <v>6614.34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53">
        <v>21.0</v>
      </c>
      <c r="G25" s="154">
        <f>IFERROR(__xludf.DUMMYFUNCTION("IF(ISNUMBER(F25), ROUND(F25 * GOOGLEFINANCE(""CURRENCY:USDINR""), 2), """")"),1984.3)</f>
        <v>1984.3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53">
        <v>11.0</v>
      </c>
      <c r="G26" s="154">
        <f>IFERROR(__xludf.DUMMYFUNCTION("IF(ISNUMBER(F26), ROUND(F26 * GOOGLEFINANCE(""CURRENCY:USDINR""), 2), """")"),1039.4)</f>
        <v>1039.4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2718</v>
      </c>
      <c r="C29" s="21" t="s">
        <v>76</v>
      </c>
      <c r="D29" s="155">
        <v>25.0</v>
      </c>
      <c r="E29" s="156">
        <f>IFERROR(__xludf.DUMMYFUNCTION("IF(ISNUMBER(D29), ROUND(D29 * GOOGLEFINANCE(""CURRENCY:USDINR""), 2), """")"),2362.26)</f>
        <v>2362.26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2719</v>
      </c>
      <c r="C30" s="25" t="s">
        <v>76</v>
      </c>
      <c r="D30" s="157">
        <v>0.0</v>
      </c>
      <c r="E30" s="158">
        <f>IFERROR(__xludf.DUMMYFUNCTION("IF(ISNUMBER(D30), ROUND(D30 * GOOGLEFINANCE(""CURRENCY:USDINR""), 2), """")"),0.0)</f>
        <v>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2720</v>
      </c>
      <c r="C31" s="25" t="s">
        <v>76</v>
      </c>
      <c r="D31" s="157">
        <v>20.0</v>
      </c>
      <c r="E31" s="158">
        <f>IFERROR(__xludf.DUMMYFUNCTION("IF(ISNUMBER(D31), ROUND(D31 * GOOGLEFINANCE(""CURRENCY:USDINR""), 2), """")"),1889.81)</f>
        <v>1889.81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2721</v>
      </c>
      <c r="C32" s="25" t="s">
        <v>76</v>
      </c>
      <c r="D32" s="157">
        <v>0.0</v>
      </c>
      <c r="E32" s="158">
        <f>IFERROR(__xludf.DUMMYFUNCTION("IF(ISNUMBER(D32), ROUND(D32 * GOOGLEFINANCE(""CURRENCY:USDINR""), 2), """")"),0.0)</f>
        <v>0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2722</v>
      </c>
      <c r="C33" s="25" t="s">
        <v>76</v>
      </c>
      <c r="D33" s="157">
        <v>11.0</v>
      </c>
      <c r="E33" s="158">
        <f>IFERROR(__xludf.DUMMYFUNCTION("IF(ISNUMBER(D33), ROUND(D33 * GOOGLEFINANCE(""CURRENCY:USDINR""), 2), """")"),1039.4)</f>
        <v>1039.4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2723</v>
      </c>
      <c r="C34" s="25" t="s">
        <v>76</v>
      </c>
      <c r="D34" s="157">
        <v>36.0</v>
      </c>
      <c r="E34" s="158">
        <f>IFERROR(__xludf.DUMMYFUNCTION("IF(ISNUMBER(D34), ROUND(D34 * GOOGLEFINANCE(""CURRENCY:USDINR""), 2), """")"),3401.66)</f>
        <v>3401.66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2724</v>
      </c>
      <c r="C35" s="25" t="s">
        <v>76</v>
      </c>
      <c r="D35" s="157">
        <v>35.0</v>
      </c>
      <c r="E35" s="158">
        <f>IFERROR(__xludf.DUMMYFUNCTION("IF(ISNUMBER(D35), ROUND(D35 * GOOGLEFINANCE(""CURRENCY:USDINR""), 2), """")"),3307.17)</f>
        <v>3307.17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2725</v>
      </c>
      <c r="C36" s="25" t="s">
        <v>76</v>
      </c>
      <c r="D36" s="157">
        <v>0.0</v>
      </c>
      <c r="E36" s="158">
        <f>IFERROR(__xludf.DUMMYFUNCTION("IF(ISNUMBER(D36), ROUND(D36 * GOOGLEFINANCE(""CURRENCY:USDINR""), 2), """")"),0.0)</f>
        <v>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2726</v>
      </c>
      <c r="C37" s="25" t="s">
        <v>76</v>
      </c>
      <c r="D37" s="157">
        <v>28.0</v>
      </c>
      <c r="E37" s="158">
        <f>IFERROR(__xludf.DUMMYFUNCTION("IF(ISNUMBER(D37), ROUND(D37 * GOOGLEFINANCE(""CURRENCY:USDINR""), 2), """")"),2645.73)</f>
        <v>2645.73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2727</v>
      </c>
      <c r="C38" s="25" t="s">
        <v>76</v>
      </c>
      <c r="D38" s="157">
        <v>0.0</v>
      </c>
      <c r="E38" s="158">
        <f>IFERROR(__xludf.DUMMYFUNCTION("IF(ISNUMBER(D38), ROUND(D38 * GOOGLEFINANCE(""CURRENCY:USDINR""), 2), """")"),0.0)</f>
        <v>0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2728</v>
      </c>
      <c r="C39" s="25" t="s">
        <v>76</v>
      </c>
      <c r="D39" s="157">
        <v>0.0</v>
      </c>
      <c r="E39" s="158">
        <f>IFERROR(__xludf.DUMMYFUNCTION("IF(ISNUMBER(D39), ROUND(D39 * GOOGLEFINANCE(""CURRENCY:USDINR""), 2), """")"),0.0)</f>
        <v>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2729</v>
      </c>
      <c r="C40" s="37" t="s">
        <v>76</v>
      </c>
      <c r="D40" s="159">
        <v>0.0</v>
      </c>
      <c r="E40" s="160">
        <f>IFERROR(__xludf.DUMMYFUNCTION("IF(ISNUMBER(D40), ROUND(D40 * GOOGLEFINANCE(""CURRENCY:USDINR""), 2), """")"),0.0)</f>
        <v>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B41" s="48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2711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2712</v>
      </c>
    </row>
    <row r="4" ht="14.25" customHeight="1">
      <c r="A4" s="9" t="s">
        <v>19</v>
      </c>
      <c r="B4" s="8" t="s">
        <v>2708</v>
      </c>
    </row>
    <row r="5" ht="14.25" customHeight="1">
      <c r="A5" s="7" t="s">
        <v>24</v>
      </c>
      <c r="B5" s="8" t="s">
        <v>2709</v>
      </c>
    </row>
    <row r="6" ht="14.25" customHeight="1">
      <c r="A6" s="9" t="s">
        <v>2710</v>
      </c>
      <c r="B6" s="10">
        <v>1.0</v>
      </c>
      <c r="C6" s="8" t="s">
        <v>1210</v>
      </c>
      <c r="D6" s="10">
        <f>IFERROR(__xludf.DUMMYFUNCTION("GOOGLEFINANCE(""CURRENCY:USDINR"")"),94.49050000000001)</f>
        <v>94.4905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66">
        <v>193.0</v>
      </c>
      <c r="G10" s="167">
        <f t="shared" ref="G10:G26" si="1">ROUND(F10*$D$6, 2)</f>
        <v>18236.67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66">
        <v>142.0</v>
      </c>
      <c r="G11" s="167">
        <f t="shared" si="1"/>
        <v>13417.65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66">
        <v>283.0</v>
      </c>
      <c r="G12" s="167">
        <f t="shared" si="1"/>
        <v>26740.81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66">
        <v>206.0</v>
      </c>
      <c r="G13" s="167">
        <f t="shared" si="1"/>
        <v>19465.04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66">
        <v>451.0</v>
      </c>
      <c r="G14" s="167">
        <f t="shared" si="1"/>
        <v>42615.22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66">
        <v>322.0</v>
      </c>
      <c r="G15" s="167">
        <f t="shared" si="1"/>
        <v>30425.94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66">
        <v>451.0</v>
      </c>
      <c r="G16" s="167">
        <f t="shared" si="1"/>
        <v>42615.22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66">
        <v>322.0</v>
      </c>
      <c r="G17" s="167">
        <f t="shared" si="1"/>
        <v>30425.94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66">
        <v>90.0</v>
      </c>
      <c r="G18" s="167">
        <f t="shared" si="1"/>
        <v>8504.15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66">
        <v>90.0</v>
      </c>
      <c r="G19" s="167">
        <f t="shared" si="1"/>
        <v>8504.15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66">
        <v>77.0</v>
      </c>
      <c r="G20" s="167">
        <f t="shared" si="1"/>
        <v>7275.77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66">
        <v>322.0</v>
      </c>
      <c r="G21" s="167">
        <f t="shared" si="1"/>
        <v>30425.94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66">
        <v>52.0</v>
      </c>
      <c r="G22" s="167">
        <f t="shared" si="1"/>
        <v>4913.51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66">
        <v>39.0</v>
      </c>
      <c r="G23" s="167">
        <f t="shared" si="1"/>
        <v>3685.13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66">
        <v>64.0</v>
      </c>
      <c r="G24" s="167">
        <f t="shared" si="1"/>
        <v>6047.39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66">
        <v>19.0</v>
      </c>
      <c r="G25" s="167">
        <f t="shared" si="1"/>
        <v>1795.32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66">
        <v>10.0</v>
      </c>
      <c r="G26" s="167">
        <f t="shared" si="1"/>
        <v>944.91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2730</v>
      </c>
      <c r="C29" s="21" t="s">
        <v>76</v>
      </c>
      <c r="D29" s="168">
        <v>2.0</v>
      </c>
      <c r="E29" s="169">
        <f t="shared" ref="E29:E40" si="2">ROUND(D29*$D$6, 2)</f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2731</v>
      </c>
      <c r="C30" s="25" t="s">
        <v>76</v>
      </c>
      <c r="D30" s="170">
        <v>2.0</v>
      </c>
      <c r="E30" s="171">
        <f t="shared" si="2"/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2732</v>
      </c>
      <c r="C31" s="25" t="s">
        <v>76</v>
      </c>
      <c r="D31" s="170">
        <v>2.0</v>
      </c>
      <c r="E31" s="171">
        <f t="shared" si="2"/>
        <v>188.98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2733</v>
      </c>
      <c r="C32" s="25" t="s">
        <v>76</v>
      </c>
      <c r="D32" s="170">
        <v>2.0</v>
      </c>
      <c r="E32" s="171">
        <f t="shared" si="2"/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2735</v>
      </c>
      <c r="C33" s="25" t="s">
        <v>76</v>
      </c>
      <c r="D33" s="170">
        <v>2.0</v>
      </c>
      <c r="E33" s="171">
        <f t="shared" si="2"/>
        <v>188.98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2736</v>
      </c>
      <c r="C34" s="25" t="s">
        <v>76</v>
      </c>
      <c r="D34" s="170">
        <v>2.0</v>
      </c>
      <c r="E34" s="171">
        <f t="shared" si="2"/>
        <v>188.98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2737</v>
      </c>
      <c r="C35" s="25" t="s">
        <v>76</v>
      </c>
      <c r="D35" s="170">
        <v>2.0</v>
      </c>
      <c r="E35" s="171">
        <f t="shared" si="2"/>
        <v>188.98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2738</v>
      </c>
      <c r="C36" s="25" t="s">
        <v>76</v>
      </c>
      <c r="D36" s="170">
        <v>2.0</v>
      </c>
      <c r="E36" s="171">
        <f t="shared" si="2"/>
        <v>188.98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2740</v>
      </c>
      <c r="C37" s="25" t="s">
        <v>76</v>
      </c>
      <c r="D37" s="170">
        <v>2.0</v>
      </c>
      <c r="E37" s="171">
        <f t="shared" si="2"/>
        <v>188.98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2741</v>
      </c>
      <c r="C38" s="25" t="s">
        <v>76</v>
      </c>
      <c r="D38" s="170">
        <v>2.0</v>
      </c>
      <c r="E38" s="171">
        <f t="shared" si="2"/>
        <v>188.98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2742</v>
      </c>
      <c r="C39" s="25" t="s">
        <v>76</v>
      </c>
      <c r="D39" s="170">
        <v>2.0</v>
      </c>
      <c r="E39" s="171">
        <f t="shared" si="2"/>
        <v>188.98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2744</v>
      </c>
      <c r="C40" s="37" t="s">
        <v>76</v>
      </c>
      <c r="D40" s="183">
        <v>2.0</v>
      </c>
      <c r="E40" s="184">
        <f t="shared" si="2"/>
        <v>188.98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2713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2714</v>
      </c>
    </row>
    <row r="4" ht="14.25" customHeight="1">
      <c r="A4" s="9" t="s">
        <v>19</v>
      </c>
      <c r="B4" s="8" t="s">
        <v>2715</v>
      </c>
    </row>
    <row r="5" ht="14.25" customHeight="1">
      <c r="A5" s="7" t="s">
        <v>24</v>
      </c>
      <c r="B5" s="8" t="s">
        <v>2716</v>
      </c>
    </row>
    <row r="6" ht="14.25" customHeight="1">
      <c r="A6" s="9" t="s">
        <v>2717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32" t="s">
        <v>45</v>
      </c>
      <c r="B10" s="32" t="s">
        <v>46</v>
      </c>
      <c r="C10" s="32" t="s">
        <v>47</v>
      </c>
      <c r="D10" s="32" t="s">
        <v>48</v>
      </c>
      <c r="E10" s="32" t="s">
        <v>49</v>
      </c>
      <c r="F10" s="153">
        <v>140.0</v>
      </c>
      <c r="G10" s="201">
        <v>15363.18</v>
      </c>
      <c r="H10" s="4"/>
      <c r="I10" s="4" t="s">
        <v>50</v>
      </c>
    </row>
    <row r="11" ht="14.25" customHeight="1">
      <c r="A11" s="32" t="s">
        <v>45</v>
      </c>
      <c r="B11" s="32" t="s">
        <v>46</v>
      </c>
      <c r="C11" s="32" t="s">
        <v>47</v>
      </c>
      <c r="D11" s="32" t="s">
        <v>51</v>
      </c>
      <c r="E11" s="32" t="s">
        <v>49</v>
      </c>
      <c r="F11" s="153">
        <v>110.0</v>
      </c>
      <c r="G11" s="201">
        <v>12071.07</v>
      </c>
      <c r="H11" s="4"/>
      <c r="I11" s="4" t="s">
        <v>50</v>
      </c>
    </row>
    <row r="12" ht="14.25" customHeight="1">
      <c r="A12" s="32" t="s">
        <v>45</v>
      </c>
      <c r="B12" s="32" t="s">
        <v>52</v>
      </c>
      <c r="C12" s="32" t="s">
        <v>47</v>
      </c>
      <c r="D12" s="32" t="s">
        <v>48</v>
      </c>
      <c r="E12" s="32" t="s">
        <v>49</v>
      </c>
      <c r="F12" s="153">
        <v>220.0</v>
      </c>
      <c r="G12" s="201">
        <v>24142.14</v>
      </c>
      <c r="H12" s="4"/>
      <c r="I12" s="4" t="s">
        <v>50</v>
      </c>
    </row>
    <row r="13" ht="14.25" customHeight="1">
      <c r="A13" s="32" t="s">
        <v>45</v>
      </c>
      <c r="B13" s="32" t="s">
        <v>52</v>
      </c>
      <c r="C13" s="32" t="s">
        <v>47</v>
      </c>
      <c r="D13" s="32" t="s">
        <v>51</v>
      </c>
      <c r="E13" s="32" t="s">
        <v>49</v>
      </c>
      <c r="F13" s="153">
        <v>170.0</v>
      </c>
      <c r="G13" s="201">
        <v>18655.29</v>
      </c>
      <c r="H13" s="4"/>
      <c r="I13" s="4" t="s">
        <v>50</v>
      </c>
    </row>
    <row r="14" ht="14.25" customHeight="1">
      <c r="A14" s="32" t="s">
        <v>45</v>
      </c>
      <c r="B14" s="32" t="s">
        <v>53</v>
      </c>
      <c r="C14" s="32" t="s">
        <v>47</v>
      </c>
      <c r="D14" s="32" t="s">
        <v>48</v>
      </c>
      <c r="E14" s="32" t="s">
        <v>49</v>
      </c>
      <c r="F14" s="153">
        <v>380.0</v>
      </c>
      <c r="G14" s="201">
        <v>41700.06</v>
      </c>
      <c r="H14" s="4"/>
      <c r="I14" s="4" t="s">
        <v>50</v>
      </c>
    </row>
    <row r="15" ht="14.25" customHeight="1">
      <c r="A15" s="32" t="s">
        <v>45</v>
      </c>
      <c r="B15" s="32" t="s">
        <v>53</v>
      </c>
      <c r="C15" s="32" t="s">
        <v>47</v>
      </c>
      <c r="D15" s="32" t="s">
        <v>51</v>
      </c>
      <c r="E15" s="32" t="s">
        <v>49</v>
      </c>
      <c r="F15" s="153">
        <v>290.0</v>
      </c>
      <c r="G15" s="201">
        <v>31823.73</v>
      </c>
      <c r="H15" s="4"/>
      <c r="I15" s="4" t="s">
        <v>50</v>
      </c>
    </row>
    <row r="16" ht="14.25" customHeight="1">
      <c r="A16" s="32" t="s">
        <v>45</v>
      </c>
      <c r="B16" s="32" t="s">
        <v>54</v>
      </c>
      <c r="C16" s="32" t="s">
        <v>47</v>
      </c>
      <c r="D16" s="32" t="s">
        <v>48</v>
      </c>
      <c r="E16" s="32" t="s">
        <v>49</v>
      </c>
      <c r="F16" s="153">
        <v>520.0</v>
      </c>
      <c r="G16" s="201">
        <v>57063.24</v>
      </c>
      <c r="H16" s="4"/>
      <c r="I16" s="4" t="s">
        <v>50</v>
      </c>
    </row>
    <row r="17" ht="14.25" customHeight="1">
      <c r="A17" s="32" t="s">
        <v>45</v>
      </c>
      <c r="B17" s="32" t="s">
        <v>54</v>
      </c>
      <c r="C17" s="32" t="s">
        <v>47</v>
      </c>
      <c r="D17" s="32" t="s">
        <v>51</v>
      </c>
      <c r="E17" s="32" t="s">
        <v>49</v>
      </c>
      <c r="F17" s="153">
        <v>410.0</v>
      </c>
      <c r="G17" s="201">
        <v>44992.17</v>
      </c>
      <c r="H17" s="4"/>
      <c r="I17" s="4" t="s">
        <v>50</v>
      </c>
    </row>
    <row r="18" ht="14.25" customHeight="1">
      <c r="A18" s="32" t="s">
        <v>55</v>
      </c>
      <c r="B18" s="32" t="s">
        <v>56</v>
      </c>
      <c r="C18" s="32" t="s">
        <v>57</v>
      </c>
      <c r="D18" s="32" t="s">
        <v>58</v>
      </c>
      <c r="E18" s="32" t="s">
        <v>59</v>
      </c>
      <c r="F18" s="153">
        <v>65.0</v>
      </c>
      <c r="G18" s="201">
        <v>7132.91</v>
      </c>
      <c r="H18" s="4"/>
      <c r="I18" s="4" t="s">
        <v>60</v>
      </c>
    </row>
    <row r="19" ht="14.25" customHeight="1">
      <c r="A19" s="32" t="s">
        <v>55</v>
      </c>
      <c r="B19" s="32" t="s">
        <v>61</v>
      </c>
      <c r="C19" s="32" t="s">
        <v>57</v>
      </c>
      <c r="D19" s="32" t="s">
        <v>58</v>
      </c>
      <c r="E19" s="32" t="s">
        <v>59</v>
      </c>
      <c r="F19" s="153">
        <v>65.0</v>
      </c>
      <c r="G19" s="201">
        <v>7132.91</v>
      </c>
      <c r="H19" s="4"/>
      <c r="I19" s="4" t="s">
        <v>60</v>
      </c>
    </row>
    <row r="20" ht="14.25" customHeight="1">
      <c r="A20" s="32" t="s">
        <v>55</v>
      </c>
      <c r="B20" s="32" t="s">
        <v>62</v>
      </c>
      <c r="C20" s="32" t="s">
        <v>57</v>
      </c>
      <c r="D20" s="32" t="s">
        <v>58</v>
      </c>
      <c r="E20" s="32" t="s">
        <v>59</v>
      </c>
      <c r="F20" s="153">
        <v>70.0</v>
      </c>
      <c r="G20" s="201">
        <v>7681.59</v>
      </c>
      <c r="H20" s="4"/>
      <c r="I20" s="4" t="s">
        <v>60</v>
      </c>
    </row>
    <row r="21" ht="14.25" customHeight="1">
      <c r="A21" s="32" t="s">
        <v>55</v>
      </c>
      <c r="B21" s="32" t="s">
        <v>63</v>
      </c>
      <c r="C21" s="32" t="s">
        <v>57</v>
      </c>
      <c r="D21" s="32" t="s">
        <v>58</v>
      </c>
      <c r="E21" s="32" t="s">
        <v>59</v>
      </c>
      <c r="F21" s="153">
        <v>260.0</v>
      </c>
      <c r="G21" s="201">
        <v>28531.62</v>
      </c>
      <c r="H21" s="4"/>
      <c r="I21" s="4" t="s">
        <v>60</v>
      </c>
    </row>
    <row r="22" ht="14.25" customHeight="1">
      <c r="A22" s="32" t="s">
        <v>55</v>
      </c>
      <c r="B22" s="32" t="s">
        <v>64</v>
      </c>
      <c r="C22" s="32" t="s">
        <v>57</v>
      </c>
      <c r="D22" s="32" t="s">
        <v>58</v>
      </c>
      <c r="E22" s="32" t="s">
        <v>59</v>
      </c>
      <c r="F22" s="153">
        <v>40.0</v>
      </c>
      <c r="G22" s="201">
        <v>4389.48</v>
      </c>
      <c r="H22" s="4"/>
      <c r="I22" s="4" t="s">
        <v>60</v>
      </c>
    </row>
    <row r="23" ht="14.25" customHeight="1">
      <c r="A23" s="32" t="s">
        <v>65</v>
      </c>
      <c r="B23" s="32" t="s">
        <v>66</v>
      </c>
      <c r="C23" s="32" t="s">
        <v>57</v>
      </c>
      <c r="D23" s="32" t="s">
        <v>67</v>
      </c>
      <c r="E23" s="32" t="s">
        <v>68</v>
      </c>
      <c r="F23" s="153">
        <v>30.0</v>
      </c>
      <c r="G23" s="201">
        <v>3292.11</v>
      </c>
      <c r="H23" s="4"/>
      <c r="I23" s="4" t="s">
        <v>69</v>
      </c>
    </row>
    <row r="24" ht="14.25" customHeight="1">
      <c r="A24" s="32" t="s">
        <v>65</v>
      </c>
      <c r="B24" s="32" t="s">
        <v>70</v>
      </c>
      <c r="C24" s="32" t="s">
        <v>57</v>
      </c>
      <c r="D24" s="32" t="s">
        <v>67</v>
      </c>
      <c r="E24" s="32" t="s">
        <v>68</v>
      </c>
      <c r="F24" s="153">
        <v>50.0</v>
      </c>
      <c r="G24" s="201">
        <v>5486.85</v>
      </c>
      <c r="H24" s="4"/>
      <c r="I24" s="4" t="s">
        <v>69</v>
      </c>
    </row>
    <row r="25" ht="14.25" customHeight="1">
      <c r="A25" s="32" t="s">
        <v>65</v>
      </c>
      <c r="B25" s="32" t="s">
        <v>71</v>
      </c>
      <c r="C25" s="32" t="s">
        <v>57</v>
      </c>
      <c r="D25" s="32" t="s">
        <v>67</v>
      </c>
      <c r="E25" s="32" t="s">
        <v>68</v>
      </c>
      <c r="F25" s="153">
        <v>15.0</v>
      </c>
      <c r="G25" s="201">
        <v>1646.05</v>
      </c>
      <c r="H25" s="4"/>
      <c r="I25" s="4" t="s">
        <v>69</v>
      </c>
    </row>
    <row r="26" ht="14.25" customHeight="1">
      <c r="A26" s="32" t="s">
        <v>65</v>
      </c>
      <c r="B26" s="32" t="s">
        <v>72</v>
      </c>
      <c r="C26" s="32" t="s">
        <v>57</v>
      </c>
      <c r="D26" s="32" t="s">
        <v>67</v>
      </c>
      <c r="E26" s="32" t="s">
        <v>68</v>
      </c>
      <c r="F26" s="153">
        <v>8.0</v>
      </c>
      <c r="G26" s="201">
        <v>877.9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53" t="s">
        <v>74</v>
      </c>
      <c r="B29" s="22" t="s">
        <v>2734</v>
      </c>
      <c r="C29" s="53" t="s">
        <v>76</v>
      </c>
      <c r="D29" s="155">
        <v>25.0</v>
      </c>
      <c r="E29" s="215">
        <v>2743.43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55" t="s">
        <v>74</v>
      </c>
      <c r="B30" s="26" t="s">
        <v>2739</v>
      </c>
      <c r="C30" s="55" t="s">
        <v>76</v>
      </c>
      <c r="D30" s="157">
        <v>0.0</v>
      </c>
      <c r="E30" s="216">
        <v>0.0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55" t="s">
        <v>74</v>
      </c>
      <c r="B31" s="26" t="s">
        <v>2743</v>
      </c>
      <c r="C31" s="55" t="s">
        <v>76</v>
      </c>
      <c r="D31" s="157">
        <v>25.0</v>
      </c>
      <c r="E31" s="216">
        <v>2743.43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55" t="s">
        <v>74</v>
      </c>
      <c r="B32" s="26" t="s">
        <v>2745</v>
      </c>
      <c r="C32" s="55" t="s">
        <v>76</v>
      </c>
      <c r="D32" s="157">
        <v>25.0</v>
      </c>
      <c r="E32" s="216">
        <v>2743.43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55" t="s">
        <v>74</v>
      </c>
      <c r="B33" s="26" t="s">
        <v>2746</v>
      </c>
      <c r="C33" s="55" t="s">
        <v>76</v>
      </c>
      <c r="D33" s="157">
        <v>25.0</v>
      </c>
      <c r="E33" s="216">
        <v>2743.43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55" t="s">
        <v>74</v>
      </c>
      <c r="B34" s="26" t="s">
        <v>2747</v>
      </c>
      <c r="C34" s="55" t="s">
        <v>76</v>
      </c>
      <c r="D34" s="157">
        <v>25.0</v>
      </c>
      <c r="E34" s="216">
        <v>2743.43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55" t="s">
        <v>74</v>
      </c>
      <c r="B35" s="26" t="s">
        <v>2749</v>
      </c>
      <c r="C35" s="55" t="s">
        <v>76</v>
      </c>
      <c r="D35" s="157">
        <v>25.0</v>
      </c>
      <c r="E35" s="216">
        <v>2743.43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55" t="s">
        <v>74</v>
      </c>
      <c r="B36" s="26" t="s">
        <v>2750</v>
      </c>
      <c r="C36" s="55" t="s">
        <v>76</v>
      </c>
      <c r="D36" s="157">
        <v>25.0</v>
      </c>
      <c r="E36" s="216">
        <v>2743.43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55" t="s">
        <v>74</v>
      </c>
      <c r="B37" s="26" t="s">
        <v>2751</v>
      </c>
      <c r="C37" s="55" t="s">
        <v>76</v>
      </c>
      <c r="D37" s="157">
        <v>0.0</v>
      </c>
      <c r="E37" s="216">
        <v>0.0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55" t="s">
        <v>74</v>
      </c>
      <c r="B38" s="26" t="s">
        <v>2754</v>
      </c>
      <c r="C38" s="55" t="s">
        <v>76</v>
      </c>
      <c r="D38" s="157">
        <v>25.0</v>
      </c>
      <c r="E38" s="216">
        <v>2743.43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55" t="s">
        <v>74</v>
      </c>
      <c r="B39" s="26" t="s">
        <v>2756</v>
      </c>
      <c r="C39" s="55" t="s">
        <v>76</v>
      </c>
      <c r="D39" s="157">
        <v>25.0</v>
      </c>
      <c r="E39" s="216">
        <v>2743.43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59" t="s">
        <v>74</v>
      </c>
      <c r="B40" s="29" t="s">
        <v>2757</v>
      </c>
      <c r="C40" s="59" t="s">
        <v>76</v>
      </c>
      <c r="D40" s="159">
        <v>25.0</v>
      </c>
      <c r="E40" s="217">
        <v>2743.43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B41" s="48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1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2748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10" t="s">
        <v>2074</v>
      </c>
    </row>
    <row r="4" ht="14.25" customHeight="1">
      <c r="A4" s="9" t="s">
        <v>19</v>
      </c>
      <c r="B4" s="8" t="s">
        <v>2752</v>
      </c>
    </row>
    <row r="5" ht="14.25" customHeight="1">
      <c r="A5" s="7" t="s">
        <v>24</v>
      </c>
      <c r="B5" s="8" t="s">
        <v>2753</v>
      </c>
    </row>
    <row r="6" ht="14.25" customHeight="1">
      <c r="A6" s="9" t="s">
        <v>2755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53">
        <v>180.0</v>
      </c>
      <c r="G10" s="154">
        <f>IFERROR(__xludf.DUMMYFUNCTION("IF(ISNUMBER(F10), ROUND(F10 * GOOGLEFINANCE(""CURRENCY:USDINR""), 2), """")"),17008.29)</f>
        <v>17008.29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53">
        <v>140.0</v>
      </c>
      <c r="G11" s="154">
        <f>IFERROR(__xludf.DUMMYFUNCTION("IF(ISNUMBER(F11), ROUND(F11 * GOOGLEFINANCE(""CURRENCY:USDINR""), 2), """")"),13228.67)</f>
        <v>13228.67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53">
        <v>300.0</v>
      </c>
      <c r="G12" s="154">
        <f>IFERROR(__xludf.DUMMYFUNCTION("IF(ISNUMBER(F12), ROUND(F12 * GOOGLEFINANCE(""CURRENCY:USDINR""), 2), """")"),28347.15)</f>
        <v>28347.15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53">
        <v>220.0</v>
      </c>
      <c r="G13" s="154">
        <f>IFERROR(__xludf.DUMMYFUNCTION("IF(ISNUMBER(F13), ROUND(F13 * GOOGLEFINANCE(""CURRENCY:USDINR""), 2), """")"),20787.91)</f>
        <v>20787.91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53">
        <v>520.0</v>
      </c>
      <c r="G14" s="154">
        <f>IFERROR(__xludf.DUMMYFUNCTION("IF(ISNUMBER(F14), ROUND(F14 * GOOGLEFINANCE(""CURRENCY:USDINR""), 2), """")"),49135.06)</f>
        <v>49135.06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53">
        <v>400.0</v>
      </c>
      <c r="G15" s="154">
        <f>IFERROR(__xludf.DUMMYFUNCTION("IF(ISNUMBER(F15), ROUND(F15 * GOOGLEFINANCE(""CURRENCY:USDINR""), 2), """")"),37796.2)</f>
        <v>37796.2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53">
        <v>750.0</v>
      </c>
      <c r="G16" s="154">
        <f>IFERROR(__xludf.DUMMYFUNCTION("IF(ISNUMBER(F16), ROUND(F16 * GOOGLEFINANCE(""CURRENCY:USDINR""), 2), """")"),70867.88)</f>
        <v>70867.88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53">
        <v>550.0</v>
      </c>
      <c r="G17" s="154">
        <f>IFERROR(__xludf.DUMMYFUNCTION("IF(ISNUMBER(F17), ROUND(F17 * GOOGLEFINANCE(""CURRENCY:USDINR""), 2), """")"),51969.78)</f>
        <v>51969.78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53">
        <v>65.0</v>
      </c>
      <c r="G18" s="154">
        <f>IFERROR(__xludf.DUMMYFUNCTION("IF(ISNUMBER(F18), ROUND(F18 * GOOGLEFINANCE(""CURRENCY:USDINR""), 2), """")"),6141.88)</f>
        <v>6141.88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53">
        <v>65.0</v>
      </c>
      <c r="G19" s="154">
        <f>IFERROR(__xludf.DUMMYFUNCTION("IF(ISNUMBER(F19), ROUND(F19 * GOOGLEFINANCE(""CURRENCY:USDINR""), 2), """")"),6141.88)</f>
        <v>6141.88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53">
        <v>75.0</v>
      </c>
      <c r="G20" s="154">
        <f>IFERROR(__xludf.DUMMYFUNCTION("IF(ISNUMBER(F20), ROUND(F20 * GOOGLEFINANCE(""CURRENCY:USDINR""), 2), """")"),7086.79)</f>
        <v>7086.79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53">
        <v>240.0</v>
      </c>
      <c r="G21" s="154">
        <f>IFERROR(__xludf.DUMMYFUNCTION("IF(ISNUMBER(F21), ROUND(F21 * GOOGLEFINANCE(""CURRENCY:USDINR""), 2), """")"),22677.72)</f>
        <v>22677.72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53">
        <v>40.0</v>
      </c>
      <c r="G22" s="154">
        <f>IFERROR(__xludf.DUMMYFUNCTION("IF(ISNUMBER(F22), ROUND(F22 * GOOGLEFINANCE(""CURRENCY:USDINR""), 2), """")"),3779.62)</f>
        <v>3779.62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53">
        <v>35.0</v>
      </c>
      <c r="G23" s="154">
        <f>IFERROR(__xludf.DUMMYFUNCTION("IF(ISNUMBER(F23), ROUND(F23 * GOOGLEFINANCE(""CURRENCY:USDINR""), 2), """")"),3307.17)</f>
        <v>3307.17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53">
        <v>60.0</v>
      </c>
      <c r="G24" s="154">
        <f>IFERROR(__xludf.DUMMYFUNCTION("IF(ISNUMBER(F24), ROUND(F24 * GOOGLEFINANCE(""CURRENCY:USDINR""), 2), """")"),5669.43)</f>
        <v>5669.43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53">
        <v>15.0</v>
      </c>
      <c r="G25" s="154">
        <f>IFERROR(__xludf.DUMMYFUNCTION("IF(ISNUMBER(F25), ROUND(F25 * GOOGLEFINANCE(""CURRENCY:USDINR""), 2), """")"),1417.36)</f>
        <v>1417.36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53">
        <v>8.0</v>
      </c>
      <c r="G26" s="154">
        <f>IFERROR(__xludf.DUMMYFUNCTION("IF(ISNUMBER(F26), ROUND(F26 * GOOGLEFINANCE(""CURRENCY:USDINR""), 2), """")"),755.92)</f>
        <v>755.92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2758</v>
      </c>
      <c r="C29" s="21" t="s">
        <v>76</v>
      </c>
      <c r="D29" s="155">
        <v>25.0</v>
      </c>
      <c r="E29" s="156">
        <f>IFERROR(__xludf.DUMMYFUNCTION("IF(ISNUMBER(D29), ROUND(D29 * GOOGLEFINANCE(""CURRENCY:USDINR""), 2), """")"),2362.26)</f>
        <v>2362.26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2759</v>
      </c>
      <c r="C30" s="25" t="s">
        <v>76</v>
      </c>
      <c r="D30" s="157">
        <v>85.0</v>
      </c>
      <c r="E30" s="158">
        <f>IFERROR(__xludf.DUMMYFUNCTION("IF(ISNUMBER(D30), ROUND(D30 * GOOGLEFINANCE(""CURRENCY:USDINR""), 2), """")"),8031.69)</f>
        <v>8031.69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2760</v>
      </c>
      <c r="C31" s="25" t="s">
        <v>76</v>
      </c>
      <c r="D31" s="157">
        <v>65.0</v>
      </c>
      <c r="E31" s="158">
        <f>IFERROR(__xludf.DUMMYFUNCTION("IF(ISNUMBER(D31), ROUND(D31 * GOOGLEFINANCE(""CURRENCY:USDINR""), 2), """")"),6141.88)</f>
        <v>6141.88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2761</v>
      </c>
      <c r="C32" s="25" t="s">
        <v>76</v>
      </c>
      <c r="D32" s="157">
        <v>45.0</v>
      </c>
      <c r="E32" s="158">
        <f>IFERROR(__xludf.DUMMYFUNCTION("IF(ISNUMBER(D32), ROUND(D32 * GOOGLEFINANCE(""CURRENCY:USDINR""), 2), """")"),4252.07)</f>
        <v>4252.07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25" t="s">
        <v>74</v>
      </c>
      <c r="B33" s="26" t="s">
        <v>2762</v>
      </c>
      <c r="C33" s="25" t="s">
        <v>76</v>
      </c>
      <c r="D33" s="157">
        <v>55.0</v>
      </c>
      <c r="E33" s="158">
        <f>IFERROR(__xludf.DUMMYFUNCTION("IF(ISNUMBER(D33), ROUND(D33 * GOOGLEFINANCE(""CURRENCY:USDINR""), 2), """")"),5196.98)</f>
        <v>5196.98</v>
      </c>
      <c r="F33" s="44"/>
      <c r="G33" s="25"/>
      <c r="H33" s="25"/>
      <c r="I33" s="25" t="s">
        <v>78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25" t="s">
        <v>74</v>
      </c>
      <c r="B34" s="26" t="s">
        <v>2763</v>
      </c>
      <c r="C34" s="25" t="s">
        <v>76</v>
      </c>
      <c r="D34" s="157">
        <v>110.0</v>
      </c>
      <c r="E34" s="158">
        <f>IFERROR(__xludf.DUMMYFUNCTION("IF(ISNUMBER(D34), ROUND(D34 * GOOGLEFINANCE(""CURRENCY:USDINR""), 2), """")"),10393.96)</f>
        <v>10393.96</v>
      </c>
      <c r="F34" s="44"/>
      <c r="G34" s="25"/>
      <c r="H34" s="25"/>
      <c r="I34" s="25" t="s">
        <v>78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25" t="s">
        <v>74</v>
      </c>
      <c r="B35" s="26" t="s">
        <v>2764</v>
      </c>
      <c r="C35" s="25" t="s">
        <v>76</v>
      </c>
      <c r="D35" s="157">
        <v>40.0</v>
      </c>
      <c r="E35" s="158">
        <f>IFERROR(__xludf.DUMMYFUNCTION("IF(ISNUMBER(D35), ROUND(D35 * GOOGLEFINANCE(""CURRENCY:USDINR""), 2), """")"),3779.62)</f>
        <v>3779.62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25" t="s">
        <v>74</v>
      </c>
      <c r="B36" s="26" t="s">
        <v>2765</v>
      </c>
      <c r="C36" s="25" t="s">
        <v>76</v>
      </c>
      <c r="D36" s="157">
        <v>50.0</v>
      </c>
      <c r="E36" s="158">
        <f>IFERROR(__xludf.DUMMYFUNCTION("IF(ISNUMBER(D36), ROUND(D36 * GOOGLEFINANCE(""CURRENCY:USDINR""), 2), """")"),4724.53)</f>
        <v>4724.53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25" t="s">
        <v>74</v>
      </c>
      <c r="B37" s="26" t="s">
        <v>2766</v>
      </c>
      <c r="C37" s="25" t="s">
        <v>76</v>
      </c>
      <c r="D37" s="157">
        <v>110.0</v>
      </c>
      <c r="E37" s="158">
        <f>IFERROR(__xludf.DUMMYFUNCTION("IF(ISNUMBER(D37), ROUND(D37 * GOOGLEFINANCE(""CURRENCY:USDINR""), 2), """")"),10393.96)</f>
        <v>10393.96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25" t="s">
        <v>74</v>
      </c>
      <c r="B38" s="26" t="s">
        <v>2767</v>
      </c>
      <c r="C38" s="25" t="s">
        <v>76</v>
      </c>
      <c r="D38" s="157">
        <v>95.0</v>
      </c>
      <c r="E38" s="158">
        <f>IFERROR(__xludf.DUMMYFUNCTION("IF(ISNUMBER(D38), ROUND(D38 * GOOGLEFINANCE(""CURRENCY:USDINR""), 2), """")"),8976.6)</f>
        <v>8976.6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25" t="s">
        <v>74</v>
      </c>
      <c r="B39" s="26" t="s">
        <v>2768</v>
      </c>
      <c r="C39" s="25" t="s">
        <v>76</v>
      </c>
      <c r="D39" s="157">
        <v>70.0</v>
      </c>
      <c r="E39" s="158">
        <f>IFERROR(__xludf.DUMMYFUNCTION("IF(ISNUMBER(D39), ROUND(D39 * GOOGLEFINANCE(""CURRENCY:USDINR""), 2), """")"),6614.34)</f>
        <v>6614.34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37" t="s">
        <v>74</v>
      </c>
      <c r="B40" s="29" t="s">
        <v>2769</v>
      </c>
      <c r="C40" s="37" t="s">
        <v>76</v>
      </c>
      <c r="D40" s="159">
        <v>45.0</v>
      </c>
      <c r="E40" s="160">
        <f>IFERROR(__xludf.DUMMYFUNCTION("IF(ISNUMBER(D40), ROUND(D40 * GOOGLEFINANCE(""CURRENCY:USDINR""), 2), """")"),4252.07)</f>
        <v>4252.07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40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2770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2771</v>
      </c>
    </row>
    <row r="4" ht="14.25" customHeight="1">
      <c r="A4" s="9" t="s">
        <v>19</v>
      </c>
      <c r="B4" s="8" t="s">
        <v>180</v>
      </c>
    </row>
    <row r="5" ht="14.25" customHeight="1">
      <c r="A5" s="7" t="s">
        <v>24</v>
      </c>
      <c r="B5" s="8" t="s">
        <v>181</v>
      </c>
    </row>
    <row r="6" ht="14.25" customHeight="1">
      <c r="A6" s="9" t="s">
        <v>182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120.0</v>
      </c>
      <c r="G10" s="15">
        <v>11338.86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90.0</v>
      </c>
      <c r="G11" s="15">
        <v>8504.15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180.0</v>
      </c>
      <c r="G12" s="15">
        <v>17008.29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130.0</v>
      </c>
      <c r="G13" s="15">
        <v>12283.77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300.0</v>
      </c>
      <c r="G14" s="15">
        <v>28347.15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220.0</v>
      </c>
      <c r="G15" s="15">
        <v>20787.91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300.0</v>
      </c>
      <c r="G16" s="15">
        <v>28347.15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220.0</v>
      </c>
      <c r="G17" s="15">
        <v>20787.91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60.0</v>
      </c>
      <c r="G18" s="15">
        <v>5669.43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60.0</v>
      </c>
      <c r="G19" s="15">
        <v>5669.43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50.0</v>
      </c>
      <c r="G20" s="15">
        <v>4724.53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180.0</v>
      </c>
      <c r="G21" s="15">
        <v>17008.29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25.0</v>
      </c>
      <c r="G22" s="15">
        <v>2362.26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25.0</v>
      </c>
      <c r="G23" s="15">
        <v>2362.26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40.0</v>
      </c>
      <c r="G24" s="15">
        <v>3779.62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5.0</v>
      </c>
      <c r="G26" s="15">
        <v>472.45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2772</v>
      </c>
      <c r="C29" s="21" t="s">
        <v>76</v>
      </c>
      <c r="D29" s="23">
        <v>15.0</v>
      </c>
      <c r="E29" s="24">
        <v>1417.36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2773</v>
      </c>
      <c r="C30" s="25" t="s">
        <v>76</v>
      </c>
      <c r="D30" s="27">
        <v>15.0</v>
      </c>
      <c r="E30" s="28">
        <v>1417.36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2774</v>
      </c>
      <c r="C31" s="25" t="s">
        <v>76</v>
      </c>
      <c r="D31" s="27">
        <v>40.0</v>
      </c>
      <c r="E31" s="28">
        <v>3779.62</v>
      </c>
      <c r="F31" s="19"/>
      <c r="G31" s="4"/>
      <c r="H31" s="4"/>
      <c r="I31" s="4" t="s">
        <v>78</v>
      </c>
    </row>
    <row r="32" ht="14.25" customHeight="1">
      <c r="A32" s="25" t="s">
        <v>74</v>
      </c>
      <c r="B32" s="26" t="s">
        <v>2775</v>
      </c>
      <c r="C32" s="25" t="s">
        <v>76</v>
      </c>
      <c r="D32" s="27">
        <v>15.0</v>
      </c>
      <c r="E32" s="28">
        <v>1417.36</v>
      </c>
      <c r="F32" s="19"/>
      <c r="G32" s="4"/>
      <c r="H32" s="4"/>
      <c r="I32" s="4" t="s">
        <v>78</v>
      </c>
    </row>
    <row r="33" ht="14.25" customHeight="1">
      <c r="A33" s="25" t="s">
        <v>74</v>
      </c>
      <c r="B33" s="26" t="s">
        <v>2776</v>
      </c>
      <c r="C33" s="25" t="s">
        <v>76</v>
      </c>
      <c r="D33" s="27">
        <v>15.0</v>
      </c>
      <c r="E33" s="28">
        <v>1417.36</v>
      </c>
      <c r="F33" s="19"/>
      <c r="G33" s="4"/>
      <c r="H33" s="4"/>
      <c r="I33" s="4" t="s">
        <v>78</v>
      </c>
    </row>
    <row r="34" ht="14.25" customHeight="1">
      <c r="A34" s="37" t="s">
        <v>74</v>
      </c>
      <c r="B34" s="29" t="s">
        <v>2777</v>
      </c>
      <c r="C34" s="37" t="s">
        <v>76</v>
      </c>
      <c r="D34" s="39">
        <v>15.0</v>
      </c>
      <c r="E34" s="40">
        <v>1417.36</v>
      </c>
      <c r="F34" s="19"/>
      <c r="G34" s="4"/>
      <c r="H34" s="4"/>
      <c r="I34" s="4" t="s">
        <v>78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I$34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2778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2779</v>
      </c>
    </row>
    <row r="4" ht="14.25" customHeight="1">
      <c r="A4" s="9" t="s">
        <v>19</v>
      </c>
      <c r="B4" s="8" t="s">
        <v>1935</v>
      </c>
    </row>
    <row r="5" ht="14.25" customHeight="1">
      <c r="A5" s="7" t="s">
        <v>24</v>
      </c>
      <c r="B5" s="8" t="s">
        <v>1939</v>
      </c>
    </row>
    <row r="6" ht="14.25" customHeight="1">
      <c r="A6" s="9" t="s">
        <v>1940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96.0</v>
      </c>
      <c r="G10" s="127">
        <f>IFERROR(__xludf.DUMMYFUNCTION("IF(ISNUMBER(F10), ROUND(F10 * GOOGLEFINANCE(""CURRENCY:USDINR""), 2), """")"),9071.09)</f>
        <v>9071.09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72.0</v>
      </c>
      <c r="G11" s="127">
        <f>IFERROR(__xludf.DUMMYFUNCTION("IF(ISNUMBER(F11), ROUND(F11 * GOOGLEFINANCE(""CURRENCY:USDINR""), 2), """")"),6803.32)</f>
        <v>6803.32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144.0</v>
      </c>
      <c r="G12" s="127">
        <f>IFERROR(__xludf.DUMMYFUNCTION("IF(ISNUMBER(F12), ROUND(F12 * GOOGLEFINANCE(""CURRENCY:USDINR""), 2), """")"),13606.63)</f>
        <v>13606.63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104.0</v>
      </c>
      <c r="G13" s="127">
        <f>IFERROR(__xludf.DUMMYFUNCTION("IF(ISNUMBER(F13), ROUND(F13 * GOOGLEFINANCE(""CURRENCY:USDINR""), 2), """")"),9827.01)</f>
        <v>9827.01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240.0</v>
      </c>
      <c r="G14" s="127">
        <f>IFERROR(__xludf.DUMMYFUNCTION("IF(ISNUMBER(F14), ROUND(F14 * GOOGLEFINANCE(""CURRENCY:USDINR""), 2), """")"),22677.72)</f>
        <v>22677.72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176.0</v>
      </c>
      <c r="G15" s="127">
        <f>IFERROR(__xludf.DUMMYFUNCTION("IF(ISNUMBER(F15), ROUND(F15 * GOOGLEFINANCE(""CURRENCY:USDINR""), 2), """")"),16630.33)</f>
        <v>16630.33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240.0</v>
      </c>
      <c r="G16" s="127">
        <f>IFERROR(__xludf.DUMMYFUNCTION("IF(ISNUMBER(F16), ROUND(F16 * GOOGLEFINANCE(""CURRENCY:USDINR""), 2), """")"),22677.72)</f>
        <v>22677.72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176.0</v>
      </c>
      <c r="G17" s="127">
        <f>IFERROR(__xludf.DUMMYFUNCTION("IF(ISNUMBER(F17), ROUND(F17 * GOOGLEFINANCE(""CURRENCY:USDINR""), 2), """")"),16630.33)</f>
        <v>16630.33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48.0</v>
      </c>
      <c r="G18" s="127">
        <f>IFERROR(__xludf.DUMMYFUNCTION("IF(ISNUMBER(F18), ROUND(F18 * GOOGLEFINANCE(""CURRENCY:USDINR""), 2), """")"),4535.54)</f>
        <v>4535.54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48.0</v>
      </c>
      <c r="G19" s="127">
        <f>IFERROR(__xludf.DUMMYFUNCTION("IF(ISNUMBER(F19), ROUND(F19 * GOOGLEFINANCE(""CURRENCY:USDINR""), 2), """")"),4535.54)</f>
        <v>4535.54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40.0</v>
      </c>
      <c r="G20" s="127">
        <f>IFERROR(__xludf.DUMMYFUNCTION("IF(ISNUMBER(F20), ROUND(F20 * GOOGLEFINANCE(""CURRENCY:USDINR""), 2), """")"),3779.62)</f>
        <v>3779.62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144.0</v>
      </c>
      <c r="G21" s="127">
        <f>IFERROR(__xludf.DUMMYFUNCTION("IF(ISNUMBER(F21), ROUND(F21 * GOOGLEFINANCE(""CURRENCY:USDINR""), 2), """")"),13606.63)</f>
        <v>13606.63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20.0</v>
      </c>
      <c r="G22" s="127">
        <f>IFERROR(__xludf.DUMMYFUNCTION("IF(ISNUMBER(F22), ROUND(F22 * GOOGLEFINANCE(""CURRENCY:USDINR""), 2), """")"),1889.81)</f>
        <v>1889.81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20.0</v>
      </c>
      <c r="G23" s="127">
        <f>IFERROR(__xludf.DUMMYFUNCTION("IF(ISNUMBER(F23), ROUND(F23 * GOOGLEFINANCE(""CURRENCY:USDINR""), 2), """")"),1889.81)</f>
        <v>1889.81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32.0</v>
      </c>
      <c r="G24" s="127">
        <f>IFERROR(__xludf.DUMMYFUNCTION("IF(ISNUMBER(F24), ROUND(F24 * GOOGLEFINANCE(""CURRENCY:USDINR""), 2), """")"),3023.7)</f>
        <v>3023.7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8.0</v>
      </c>
      <c r="G25" s="127">
        <f>IFERROR(__xludf.DUMMYFUNCTION("IF(ISNUMBER(F25), ROUND(F25 * GOOGLEFINANCE(""CURRENCY:USDINR""), 2), """")"),755.92)</f>
        <v>755.92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4.0</v>
      </c>
      <c r="G26" s="127">
        <f>IFERROR(__xludf.DUMMYFUNCTION("IF(ISNUMBER(F26), ROUND(F26 * GOOGLEFINANCE(""CURRENCY:USDINR""), 2), """")"),377.96)</f>
        <v>377.96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2824</v>
      </c>
      <c r="C29" s="21" t="s">
        <v>76</v>
      </c>
      <c r="D29" s="23">
        <v>0.0</v>
      </c>
      <c r="E29" s="172">
        <f>IFERROR(__xludf.DUMMYFUNCTION("IF(ISNUMBER(D29), ROUND(D29 * GOOGLEFINANCE(""CURRENCY:USDINR""), 2), """")"),0.0)</f>
        <v>0</v>
      </c>
      <c r="F29" s="19"/>
      <c r="G29" s="4"/>
      <c r="H29" s="4"/>
      <c r="I29" s="4" t="s">
        <v>78</v>
      </c>
    </row>
    <row r="30" ht="14.25" customHeight="1">
      <c r="A30" s="25" t="s">
        <v>74</v>
      </c>
      <c r="B30" s="26" t="s">
        <v>2830</v>
      </c>
      <c r="C30" s="25" t="s">
        <v>76</v>
      </c>
      <c r="D30" s="27">
        <v>0.0</v>
      </c>
      <c r="E30" s="173">
        <f>IFERROR(__xludf.DUMMYFUNCTION("IF(ISNUMBER(D30), ROUND(D30 * GOOGLEFINANCE(""CURRENCY:USDINR""), 2), """")"),0.0)</f>
        <v>0</v>
      </c>
      <c r="F30" s="19"/>
      <c r="G30" s="4"/>
      <c r="H30" s="4"/>
      <c r="I30" s="4" t="s">
        <v>78</v>
      </c>
    </row>
    <row r="31" ht="14.25" customHeight="1">
      <c r="A31" s="25" t="s">
        <v>74</v>
      </c>
      <c r="B31" s="26" t="s">
        <v>2833</v>
      </c>
      <c r="C31" s="25" t="s">
        <v>76</v>
      </c>
      <c r="D31" s="27">
        <v>0.0</v>
      </c>
      <c r="E31" s="173">
        <f>IFERROR(__xludf.DUMMYFUNCTION("IF(ISNUMBER(D31), ROUND(D31 * GOOGLEFINANCE(""CURRENCY:USDINR""), 2), """")"),0.0)</f>
        <v>0</v>
      </c>
      <c r="F31" s="19"/>
      <c r="G31" s="4"/>
      <c r="H31" s="4"/>
      <c r="I31" s="4" t="s">
        <v>78</v>
      </c>
    </row>
    <row r="32" ht="14.25" customHeight="1">
      <c r="A32" s="37" t="s">
        <v>74</v>
      </c>
      <c r="B32" s="29" t="s">
        <v>2834</v>
      </c>
      <c r="C32" s="37" t="s">
        <v>76</v>
      </c>
      <c r="D32" s="39">
        <v>0.0</v>
      </c>
      <c r="E32" s="174">
        <f>IFERROR(__xludf.DUMMYFUNCTION("IF(ISNUMBER(D32), ROUND(D32 * GOOGLEFINANCE(""CURRENCY:USDINR""), 2), """")"),0.0)</f>
        <v>0</v>
      </c>
      <c r="F32" s="19"/>
      <c r="G32" s="4"/>
      <c r="H32" s="4"/>
      <c r="I32" s="4" t="s">
        <v>78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9:$I$32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29"/>
    <col customWidth="1" min="4" max="4" width="20.0"/>
    <col customWidth="1" min="5" max="5" width="18.0"/>
    <col customWidth="1" min="6" max="6" width="16.0"/>
    <col customWidth="1" min="7" max="8" width="18.0"/>
    <col customWidth="1" min="9" max="9" width="42.0"/>
    <col customWidth="1" min="10" max="26" width="8.71"/>
  </cols>
  <sheetData>
    <row r="1" ht="27.75" customHeight="1">
      <c r="A1" s="2" t="s">
        <v>2780</v>
      </c>
      <c r="B1" s="3"/>
      <c r="C1" s="3"/>
      <c r="D1" s="3"/>
      <c r="E1" s="3"/>
      <c r="F1" s="3"/>
      <c r="G1" s="3"/>
      <c r="H1" s="3"/>
      <c r="I1" s="5"/>
    </row>
    <row r="2" ht="14.25" customHeight="1"/>
    <row r="3" ht="14.25" customHeight="1">
      <c r="A3" s="7" t="s">
        <v>10</v>
      </c>
      <c r="B3" s="8" t="s">
        <v>2781</v>
      </c>
    </row>
    <row r="4" ht="14.25" customHeight="1">
      <c r="A4" s="9" t="s">
        <v>19</v>
      </c>
      <c r="B4" s="8" t="s">
        <v>505</v>
      </c>
    </row>
    <row r="5" ht="14.25" customHeight="1">
      <c r="A5" s="7" t="s">
        <v>24</v>
      </c>
      <c r="B5" s="8" t="s">
        <v>507</v>
      </c>
    </row>
    <row r="6" ht="14.25" customHeight="1">
      <c r="A6" s="9" t="s">
        <v>508</v>
      </c>
      <c r="B6" s="10">
        <v>1.0</v>
      </c>
    </row>
    <row r="7" ht="14.25" customHeight="1">
      <c r="A7" s="7" t="s">
        <v>29</v>
      </c>
      <c r="B7" s="10" t="s">
        <v>31</v>
      </c>
    </row>
    <row r="8" ht="14.25" customHeight="1"/>
    <row r="9" ht="14.25" customHeight="1">
      <c r="A9" s="11" t="s">
        <v>33</v>
      </c>
      <c r="B9" s="11" t="s">
        <v>39</v>
      </c>
      <c r="C9" s="11" t="s">
        <v>40</v>
      </c>
      <c r="D9" s="11" t="s">
        <v>42</v>
      </c>
      <c r="E9" s="11" t="s">
        <v>4</v>
      </c>
      <c r="F9" s="13" t="s">
        <v>43</v>
      </c>
      <c r="G9" s="13" t="s">
        <v>44</v>
      </c>
      <c r="H9" s="11"/>
      <c r="I9" s="11" t="s">
        <v>6</v>
      </c>
    </row>
    <row r="10" ht="14.2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14">
        <v>112.5</v>
      </c>
      <c r="G10" s="15">
        <v>10630.18</v>
      </c>
      <c r="H10" s="4"/>
      <c r="I10" s="4" t="s">
        <v>50</v>
      </c>
    </row>
    <row r="11" ht="14.25" customHeight="1">
      <c r="A11" s="4" t="s">
        <v>45</v>
      </c>
      <c r="B11" s="4" t="s">
        <v>46</v>
      </c>
      <c r="C11" s="4" t="s">
        <v>47</v>
      </c>
      <c r="D11" s="4" t="s">
        <v>51</v>
      </c>
      <c r="E11" s="4" t="s">
        <v>49</v>
      </c>
      <c r="F11" s="14">
        <v>81.25</v>
      </c>
      <c r="G11" s="15">
        <v>7677.35</v>
      </c>
      <c r="H11" s="4"/>
      <c r="I11" s="4" t="s">
        <v>50</v>
      </c>
    </row>
    <row r="12" ht="14.25" customHeight="1">
      <c r="A12" s="4" t="s">
        <v>45</v>
      </c>
      <c r="B12" s="4" t="s">
        <v>52</v>
      </c>
      <c r="C12" s="4" t="s">
        <v>47</v>
      </c>
      <c r="D12" s="4" t="s">
        <v>48</v>
      </c>
      <c r="E12" s="4" t="s">
        <v>49</v>
      </c>
      <c r="F12" s="14">
        <v>168.75</v>
      </c>
      <c r="G12" s="15">
        <v>15945.27</v>
      </c>
      <c r="H12" s="4"/>
      <c r="I12" s="4" t="s">
        <v>50</v>
      </c>
    </row>
    <row r="13" ht="14.25" customHeight="1">
      <c r="A13" s="4" t="s">
        <v>45</v>
      </c>
      <c r="B13" s="4" t="s">
        <v>52</v>
      </c>
      <c r="C13" s="4" t="s">
        <v>47</v>
      </c>
      <c r="D13" s="4" t="s">
        <v>51</v>
      </c>
      <c r="E13" s="4" t="s">
        <v>49</v>
      </c>
      <c r="F13" s="14">
        <v>118.75</v>
      </c>
      <c r="G13" s="15">
        <v>11220.75</v>
      </c>
      <c r="H13" s="4"/>
      <c r="I13" s="4" t="s">
        <v>50</v>
      </c>
    </row>
    <row r="14" ht="14.25" customHeight="1">
      <c r="A14" s="4" t="s">
        <v>45</v>
      </c>
      <c r="B14" s="4" t="s">
        <v>53</v>
      </c>
      <c r="C14" s="4" t="s">
        <v>47</v>
      </c>
      <c r="D14" s="4" t="s">
        <v>48</v>
      </c>
      <c r="E14" s="4" t="s">
        <v>49</v>
      </c>
      <c r="F14" s="14">
        <v>275.0</v>
      </c>
      <c r="G14" s="15">
        <v>25984.89</v>
      </c>
      <c r="H14" s="4"/>
      <c r="I14" s="4" t="s">
        <v>50</v>
      </c>
    </row>
    <row r="15" ht="14.25" customHeight="1">
      <c r="A15" s="4" t="s">
        <v>45</v>
      </c>
      <c r="B15" s="4" t="s">
        <v>53</v>
      </c>
      <c r="C15" s="4" t="s">
        <v>47</v>
      </c>
      <c r="D15" s="4" t="s">
        <v>51</v>
      </c>
      <c r="E15" s="4" t="s">
        <v>49</v>
      </c>
      <c r="F15" s="14">
        <v>200.0</v>
      </c>
      <c r="G15" s="15">
        <v>18898.1</v>
      </c>
      <c r="H15" s="4"/>
      <c r="I15" s="4" t="s">
        <v>50</v>
      </c>
    </row>
    <row r="16" ht="14.25" customHeight="1">
      <c r="A16" s="4" t="s">
        <v>45</v>
      </c>
      <c r="B16" s="4" t="s">
        <v>54</v>
      </c>
      <c r="C16" s="4" t="s">
        <v>47</v>
      </c>
      <c r="D16" s="4" t="s">
        <v>48</v>
      </c>
      <c r="E16" s="4" t="s">
        <v>49</v>
      </c>
      <c r="F16" s="14">
        <v>425.0</v>
      </c>
      <c r="G16" s="15">
        <v>40158.46</v>
      </c>
      <c r="H16" s="4"/>
      <c r="I16" s="4" t="s">
        <v>50</v>
      </c>
    </row>
    <row r="17" ht="14.25" customHeight="1">
      <c r="A17" s="4" t="s">
        <v>45</v>
      </c>
      <c r="B17" s="4" t="s">
        <v>54</v>
      </c>
      <c r="C17" s="4" t="s">
        <v>47</v>
      </c>
      <c r="D17" s="4" t="s">
        <v>51</v>
      </c>
      <c r="E17" s="4" t="s">
        <v>49</v>
      </c>
      <c r="F17" s="14">
        <v>312.5</v>
      </c>
      <c r="G17" s="15">
        <v>29528.28</v>
      </c>
      <c r="H17" s="4"/>
      <c r="I17" s="4" t="s">
        <v>50</v>
      </c>
    </row>
    <row r="18" ht="14.25" customHeight="1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14">
        <v>68.75</v>
      </c>
      <c r="G18" s="15">
        <v>6496.22</v>
      </c>
      <c r="H18" s="4"/>
      <c r="I18" s="4" t="s">
        <v>60</v>
      </c>
    </row>
    <row r="19" ht="14.25" customHeight="1">
      <c r="A19" s="4" t="s">
        <v>55</v>
      </c>
      <c r="B19" s="4" t="s">
        <v>61</v>
      </c>
      <c r="C19" s="4" t="s">
        <v>57</v>
      </c>
      <c r="D19" s="4" t="s">
        <v>58</v>
      </c>
      <c r="E19" s="4" t="s">
        <v>59</v>
      </c>
      <c r="F19" s="14">
        <v>68.75</v>
      </c>
      <c r="G19" s="15">
        <v>6496.22</v>
      </c>
      <c r="H19" s="4"/>
      <c r="I19" s="4" t="s">
        <v>60</v>
      </c>
    </row>
    <row r="20" ht="14.25" customHeight="1">
      <c r="A20" s="4" t="s">
        <v>55</v>
      </c>
      <c r="B20" s="4" t="s">
        <v>62</v>
      </c>
      <c r="C20" s="4" t="s">
        <v>57</v>
      </c>
      <c r="D20" s="4" t="s">
        <v>58</v>
      </c>
      <c r="E20" s="4" t="s">
        <v>59</v>
      </c>
      <c r="F20" s="14">
        <v>56.25</v>
      </c>
      <c r="G20" s="15">
        <v>5315.09</v>
      </c>
      <c r="H20" s="4"/>
      <c r="I20" s="4" t="s">
        <v>60</v>
      </c>
    </row>
    <row r="21" ht="14.25" customHeight="1">
      <c r="A21" s="4" t="s">
        <v>55</v>
      </c>
      <c r="B21" s="4" t="s">
        <v>63</v>
      </c>
      <c r="C21" s="4" t="s">
        <v>57</v>
      </c>
      <c r="D21" s="4" t="s">
        <v>58</v>
      </c>
      <c r="E21" s="4" t="s">
        <v>59</v>
      </c>
      <c r="F21" s="14">
        <v>237.5</v>
      </c>
      <c r="G21" s="15">
        <v>22441.49</v>
      </c>
      <c r="H21" s="4"/>
      <c r="I21" s="4" t="s">
        <v>60</v>
      </c>
    </row>
    <row r="22" ht="14.25" customHeight="1">
      <c r="A22" s="4" t="s">
        <v>55</v>
      </c>
      <c r="B22" s="4" t="s">
        <v>64</v>
      </c>
      <c r="C22" s="4" t="s">
        <v>57</v>
      </c>
      <c r="D22" s="4" t="s">
        <v>58</v>
      </c>
      <c r="E22" s="4" t="s">
        <v>59</v>
      </c>
      <c r="F22" s="14">
        <v>56.25</v>
      </c>
      <c r="G22" s="15">
        <v>5315.09</v>
      </c>
      <c r="H22" s="4"/>
      <c r="I22" s="4" t="s">
        <v>60</v>
      </c>
    </row>
    <row r="23" ht="14.25" customHeight="1">
      <c r="A23" s="4" t="s">
        <v>65</v>
      </c>
      <c r="B23" s="4" t="s">
        <v>66</v>
      </c>
      <c r="C23" s="4" t="s">
        <v>57</v>
      </c>
      <c r="D23" s="4" t="s">
        <v>67</v>
      </c>
      <c r="E23" s="4" t="s">
        <v>68</v>
      </c>
      <c r="F23" s="14">
        <v>22.5</v>
      </c>
      <c r="G23" s="15">
        <v>2126.04</v>
      </c>
      <c r="H23" s="4"/>
      <c r="I23" s="4" t="s">
        <v>69</v>
      </c>
    </row>
    <row r="24" ht="14.25" customHeight="1">
      <c r="A24" s="4" t="s">
        <v>65</v>
      </c>
      <c r="B24" s="4" t="s">
        <v>70</v>
      </c>
      <c r="C24" s="4" t="s">
        <v>57</v>
      </c>
      <c r="D24" s="4" t="s">
        <v>67</v>
      </c>
      <c r="E24" s="4" t="s">
        <v>68</v>
      </c>
      <c r="F24" s="14">
        <v>31.25</v>
      </c>
      <c r="G24" s="15">
        <v>2952.83</v>
      </c>
      <c r="H24" s="4"/>
      <c r="I24" s="4" t="s">
        <v>69</v>
      </c>
    </row>
    <row r="25" ht="14.25" customHeight="1">
      <c r="A25" s="4" t="s">
        <v>65</v>
      </c>
      <c r="B25" s="4" t="s">
        <v>71</v>
      </c>
      <c r="C25" s="4" t="s">
        <v>57</v>
      </c>
      <c r="D25" s="4" t="s">
        <v>67</v>
      </c>
      <c r="E25" s="4" t="s">
        <v>68</v>
      </c>
      <c r="F25" s="14">
        <v>10.0</v>
      </c>
      <c r="G25" s="15">
        <v>944.91</v>
      </c>
      <c r="H25" s="4"/>
      <c r="I25" s="4" t="s">
        <v>69</v>
      </c>
    </row>
    <row r="26" ht="14.25" customHeight="1">
      <c r="A26" s="4" t="s">
        <v>65</v>
      </c>
      <c r="B26" s="4" t="s">
        <v>72</v>
      </c>
      <c r="C26" s="4" t="s">
        <v>57</v>
      </c>
      <c r="D26" s="4" t="s">
        <v>67</v>
      </c>
      <c r="E26" s="4" t="s">
        <v>68</v>
      </c>
      <c r="F26" s="14">
        <v>7.5</v>
      </c>
      <c r="G26" s="15">
        <v>708.68</v>
      </c>
      <c r="H26" s="4"/>
      <c r="I26" s="4" t="s">
        <v>69</v>
      </c>
    </row>
    <row r="27" ht="14.25" customHeight="1">
      <c r="A27" s="4"/>
      <c r="B27" s="4"/>
      <c r="C27" s="4"/>
      <c r="D27" s="4"/>
      <c r="E27" s="4"/>
      <c r="F27" s="19"/>
      <c r="G27" s="4"/>
      <c r="H27" s="4"/>
      <c r="I27" s="4"/>
    </row>
    <row r="28" ht="14.25" customHeight="1">
      <c r="A28" s="11" t="s">
        <v>33</v>
      </c>
      <c r="B28" s="11" t="s">
        <v>73</v>
      </c>
      <c r="C28" s="11" t="s">
        <v>4</v>
      </c>
      <c r="D28" s="20" t="s">
        <v>43</v>
      </c>
      <c r="E28" s="20" t="s">
        <v>44</v>
      </c>
      <c r="F28" s="19"/>
      <c r="G28" s="4"/>
      <c r="H28" s="4"/>
      <c r="I28" s="4"/>
    </row>
    <row r="29" ht="14.25" customHeight="1">
      <c r="A29" s="21" t="s">
        <v>74</v>
      </c>
      <c r="B29" s="22" t="s">
        <v>2819</v>
      </c>
      <c r="C29" s="21" t="s">
        <v>76</v>
      </c>
      <c r="D29" s="23">
        <v>2.0</v>
      </c>
      <c r="E29" s="24">
        <v>188.98</v>
      </c>
      <c r="F29" s="38"/>
      <c r="G29" s="21"/>
      <c r="H29" s="21"/>
      <c r="I29" s="21" t="s">
        <v>78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25" t="s">
        <v>74</v>
      </c>
      <c r="B30" s="26" t="s">
        <v>2827</v>
      </c>
      <c r="C30" s="25" t="s">
        <v>76</v>
      </c>
      <c r="D30" s="27">
        <v>2.0</v>
      </c>
      <c r="E30" s="28">
        <v>188.98</v>
      </c>
      <c r="F30" s="44"/>
      <c r="G30" s="25"/>
      <c r="H30" s="25"/>
      <c r="I30" s="25" t="s">
        <v>78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25" t="s">
        <v>74</v>
      </c>
      <c r="B31" s="26" t="s">
        <v>2829</v>
      </c>
      <c r="C31" s="25" t="s">
        <v>76</v>
      </c>
      <c r="D31" s="27">
        <v>0.0</v>
      </c>
      <c r="E31" s="28">
        <v>0.0</v>
      </c>
      <c r="F31" s="44"/>
      <c r="G31" s="25"/>
      <c r="H31" s="25"/>
      <c r="I31" s="25" t="s">
        <v>78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25" t="s">
        <v>74</v>
      </c>
      <c r="B32" s="26" t="s">
        <v>2831</v>
      </c>
      <c r="C32" s="25" t="s">
        <v>76</v>
      </c>
      <c r="D32" s="27">
        <v>2.0</v>
      </c>
      <c r="E32" s="28">
        <v>188.98</v>
      </c>
      <c r="F32" s="44"/>
      <c r="G32" s="25"/>
      <c r="H32" s="25"/>
      <c r="I32" s="25" t="s">
        <v>78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37" t="s">
        <v>74</v>
      </c>
      <c r="B33" s="29" t="s">
        <v>2832</v>
      </c>
      <c r="C33" s="37" t="s">
        <v>76</v>
      </c>
      <c r="D33" s="39">
        <v>0.0</v>
      </c>
      <c r="E33" s="40">
        <v>0.0</v>
      </c>
      <c r="F33" s="50"/>
      <c r="G33" s="37"/>
      <c r="H33" s="37"/>
      <c r="I33" s="37" t="s">
        <v>78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9:$I$33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22.0"/>
    <col customWidth="1" min="4" max="4" width="12.0"/>
    <col customWidth="1" min="5" max="26" width="8.71"/>
  </cols>
  <sheetData>
    <row r="1" ht="27.75" customHeight="1">
      <c r="A1" s="1" t="s">
        <v>2782</v>
      </c>
      <c r="B1" s="1" t="s">
        <v>39</v>
      </c>
      <c r="C1" s="1" t="s">
        <v>2783</v>
      </c>
      <c r="D1" s="1" t="s">
        <v>2784</v>
      </c>
    </row>
    <row r="2" ht="14.25" customHeight="1">
      <c r="A2" s="4" t="s">
        <v>2785</v>
      </c>
      <c r="B2" s="4" t="s">
        <v>2786</v>
      </c>
      <c r="C2" s="4">
        <v>2.0</v>
      </c>
      <c r="D2" s="4" t="s">
        <v>2787</v>
      </c>
    </row>
    <row r="3" ht="14.25" customHeight="1">
      <c r="A3" s="4" t="s">
        <v>2785</v>
      </c>
      <c r="B3" s="4" t="s">
        <v>2788</v>
      </c>
      <c r="C3" s="4">
        <v>0.0</v>
      </c>
      <c r="D3" s="4" t="s">
        <v>2787</v>
      </c>
    </row>
    <row r="4" ht="14.25" customHeight="1">
      <c r="A4" s="4" t="s">
        <v>2785</v>
      </c>
      <c r="B4" s="4" t="s">
        <v>2789</v>
      </c>
      <c r="C4" s="4">
        <v>0.0</v>
      </c>
      <c r="D4" s="4" t="s">
        <v>2787</v>
      </c>
    </row>
    <row r="5" ht="14.25" customHeight="1">
      <c r="A5" s="4" t="s">
        <v>2785</v>
      </c>
      <c r="B5" s="4" t="s">
        <v>2790</v>
      </c>
      <c r="C5" s="4">
        <v>5.0</v>
      </c>
      <c r="D5" s="4" t="s">
        <v>2787</v>
      </c>
    </row>
    <row r="6" ht="14.25" customHeight="1">
      <c r="A6" s="4" t="s">
        <v>2785</v>
      </c>
      <c r="B6" s="4" t="s">
        <v>2791</v>
      </c>
      <c r="C6" s="4">
        <v>1.0</v>
      </c>
      <c r="D6" s="4" t="s">
        <v>2787</v>
      </c>
    </row>
    <row r="7" ht="14.25" customHeight="1">
      <c r="A7" s="4" t="s">
        <v>2785</v>
      </c>
      <c r="B7" s="4" t="s">
        <v>2792</v>
      </c>
      <c r="C7" s="4" t="s">
        <v>52</v>
      </c>
      <c r="D7" s="4" t="s">
        <v>2793</v>
      </c>
    </row>
    <row r="8" ht="14.25" customHeight="1">
      <c r="A8" s="4" t="s">
        <v>2785</v>
      </c>
      <c r="B8" s="4" t="s">
        <v>2794</v>
      </c>
      <c r="C8" s="4" t="s">
        <v>48</v>
      </c>
      <c r="D8" s="4" t="s">
        <v>2793</v>
      </c>
    </row>
    <row r="9" ht="14.25" customHeight="1">
      <c r="A9" s="4" t="s">
        <v>2785</v>
      </c>
      <c r="B9" s="4" t="s">
        <v>2795</v>
      </c>
      <c r="C9" s="4" t="s">
        <v>2796</v>
      </c>
      <c r="D9" s="4" t="s">
        <v>2793</v>
      </c>
    </row>
    <row r="10" ht="14.25" customHeight="1">
      <c r="A10" s="4" t="s">
        <v>2785</v>
      </c>
      <c r="B10" s="4" t="s">
        <v>2797</v>
      </c>
      <c r="C10" s="4" t="s">
        <v>2798</v>
      </c>
      <c r="D10" s="4" t="s">
        <v>2793</v>
      </c>
    </row>
    <row r="11" ht="14.25" customHeight="1">
      <c r="A11" s="4" t="s">
        <v>2785</v>
      </c>
      <c r="B11" s="4" t="s">
        <v>2799</v>
      </c>
      <c r="C11" s="4" t="s">
        <v>2800</v>
      </c>
      <c r="D11" s="4" t="s">
        <v>2793</v>
      </c>
    </row>
    <row r="12" ht="14.25" customHeight="1">
      <c r="A12" s="4" t="s">
        <v>2785</v>
      </c>
      <c r="B12" s="4" t="s">
        <v>2801</v>
      </c>
      <c r="C12" s="4" t="s">
        <v>2802</v>
      </c>
      <c r="D12" s="4" t="s">
        <v>2793</v>
      </c>
    </row>
    <row r="13" ht="14.25" customHeight="1">
      <c r="A13" s="4" t="s">
        <v>2785</v>
      </c>
      <c r="B13" s="4" t="s">
        <v>2803</v>
      </c>
      <c r="C13" s="4" t="s">
        <v>2804</v>
      </c>
      <c r="D13" s="4" t="s">
        <v>2793</v>
      </c>
    </row>
    <row r="14" ht="14.25" customHeight="1">
      <c r="A14" s="4" t="s">
        <v>2785</v>
      </c>
      <c r="B14" s="4" t="s">
        <v>2805</v>
      </c>
      <c r="C14" s="4">
        <v>2.0</v>
      </c>
      <c r="D14" s="4" t="s">
        <v>2787</v>
      </c>
    </row>
    <row r="15" ht="14.25" customHeight="1">
      <c r="A15" s="4" t="s">
        <v>2785</v>
      </c>
      <c r="B15" s="4" t="s">
        <v>2806</v>
      </c>
      <c r="C15" s="4">
        <v>5.0</v>
      </c>
      <c r="D15" s="4" t="s">
        <v>2807</v>
      </c>
    </row>
    <row r="16" ht="14.25" customHeight="1">
      <c r="A16" s="4" t="s">
        <v>2785</v>
      </c>
      <c r="B16" s="4" t="s">
        <v>2808</v>
      </c>
      <c r="C16" s="4">
        <v>4.0</v>
      </c>
      <c r="D16" s="4" t="s">
        <v>2807</v>
      </c>
    </row>
    <row r="17" ht="14.25" customHeight="1">
      <c r="A17" s="4" t="s">
        <v>2785</v>
      </c>
      <c r="B17" s="4" t="s">
        <v>2809</v>
      </c>
      <c r="C17" s="4">
        <v>2.0</v>
      </c>
      <c r="D17" s="4" t="s">
        <v>2807</v>
      </c>
    </row>
    <row r="18" ht="14.25" customHeight="1">
      <c r="A18" s="4" t="s">
        <v>2785</v>
      </c>
      <c r="B18" s="4" t="s">
        <v>2810</v>
      </c>
      <c r="C18" s="4">
        <v>5.0</v>
      </c>
      <c r="D18" s="4" t="s">
        <v>2807</v>
      </c>
    </row>
    <row r="19" ht="14.25" customHeight="1">
      <c r="A19" s="4" t="s">
        <v>2785</v>
      </c>
      <c r="B19" s="4" t="s">
        <v>2811</v>
      </c>
      <c r="C19" s="4">
        <v>4.0</v>
      </c>
      <c r="D19" s="4" t="s">
        <v>2807</v>
      </c>
    </row>
    <row r="20" ht="14.25" customHeight="1">
      <c r="A20" s="4" t="s">
        <v>2785</v>
      </c>
      <c r="B20" s="4" t="s">
        <v>2812</v>
      </c>
      <c r="C20" s="4">
        <v>4.0</v>
      </c>
      <c r="D20" s="4" t="s">
        <v>2807</v>
      </c>
    </row>
    <row r="21" ht="14.25" customHeight="1">
      <c r="A21" s="4" t="s">
        <v>2785</v>
      </c>
      <c r="B21" s="4" t="s">
        <v>2813</v>
      </c>
      <c r="C21" s="4">
        <v>0.0</v>
      </c>
      <c r="D21" s="4" t="s">
        <v>2787</v>
      </c>
    </row>
    <row r="22" ht="14.25" customHeight="1">
      <c r="A22" s="4" t="s">
        <v>2785</v>
      </c>
      <c r="B22" s="4" t="s">
        <v>2814</v>
      </c>
      <c r="C22" s="4" t="s">
        <v>2815</v>
      </c>
      <c r="D22" s="4" t="s">
        <v>2816</v>
      </c>
    </row>
    <row r="23" ht="14.25" customHeight="1">
      <c r="A23" s="4" t="s">
        <v>2785</v>
      </c>
      <c r="B23" s="4" t="s">
        <v>2817</v>
      </c>
      <c r="C23" s="4" t="s">
        <v>2818</v>
      </c>
      <c r="D23" s="4" t="s">
        <v>2816</v>
      </c>
    </row>
    <row r="24" ht="14.25" customHeight="1">
      <c r="A24" s="4" t="s">
        <v>2785</v>
      </c>
      <c r="B24" s="4" t="s">
        <v>2820</v>
      </c>
      <c r="C24" s="4" t="s">
        <v>2818</v>
      </c>
      <c r="D24" s="4" t="s">
        <v>2816</v>
      </c>
    </row>
    <row r="25" ht="14.25" customHeight="1">
      <c r="A25" s="4" t="s">
        <v>2785</v>
      </c>
      <c r="B25" s="4" t="s">
        <v>2821</v>
      </c>
      <c r="C25" s="4" t="s">
        <v>2822</v>
      </c>
      <c r="D25" s="4" t="s">
        <v>2255</v>
      </c>
    </row>
    <row r="26" ht="14.25" customHeight="1">
      <c r="A26" s="4" t="s">
        <v>2785</v>
      </c>
      <c r="B26" s="4" t="s">
        <v>2823</v>
      </c>
      <c r="C26" s="4">
        <v>0.15</v>
      </c>
      <c r="D26" s="4" t="s">
        <v>2825</v>
      </c>
    </row>
    <row r="27" ht="14.25" customHeight="1">
      <c r="A27" s="4" t="s">
        <v>2785</v>
      </c>
      <c r="B27" s="4" t="s">
        <v>2826</v>
      </c>
      <c r="C27" s="4">
        <v>0.0</v>
      </c>
      <c r="D27" s="4" t="s">
        <v>2825</v>
      </c>
    </row>
    <row r="28" ht="14.25" customHeight="1">
      <c r="A28" s="4" t="s">
        <v>2785</v>
      </c>
      <c r="B28" s="4" t="s">
        <v>2828</v>
      </c>
      <c r="C28" s="4">
        <v>0.03</v>
      </c>
      <c r="D28" s="4" t="s">
        <v>2825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28"/>
  <dataValidations>
    <dataValidation type="list" allowBlank="1" sqref="C22:C24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40.0"/>
    <col customWidth="1" min="4" max="4" width="12.0"/>
    <col customWidth="1" min="5" max="5" width="16.0"/>
    <col customWidth="1" min="6" max="6" width="18.0"/>
    <col customWidth="1" min="7" max="26" width="8.71"/>
  </cols>
  <sheetData>
    <row r="1" ht="27.75" customHeight="1">
      <c r="A1" s="218" t="s">
        <v>2835</v>
      </c>
      <c r="B1" s="218" t="s">
        <v>2836</v>
      </c>
      <c r="C1" s="218" t="s">
        <v>2837</v>
      </c>
      <c r="D1" s="218" t="s">
        <v>2838</v>
      </c>
      <c r="E1" s="218" t="s">
        <v>2839</v>
      </c>
      <c r="F1" s="218" t="s">
        <v>2840</v>
      </c>
    </row>
    <row r="2" ht="14.25" customHeight="1">
      <c r="A2" s="4">
        <v>1.0</v>
      </c>
      <c r="B2" s="4" t="s">
        <v>45</v>
      </c>
      <c r="C2" s="4" t="s">
        <v>2841</v>
      </c>
      <c r="D2" s="4">
        <v>1.0</v>
      </c>
      <c r="E2" s="4">
        <f t="shared" ref="E2:E13" si="1">0</f>
        <v>0</v>
      </c>
      <c r="F2" s="4">
        <f t="shared" ref="F2:F13" si="2">D2*E2</f>
        <v>0</v>
      </c>
    </row>
    <row r="3" ht="14.25" customHeight="1">
      <c r="A3" s="4">
        <v>2.0</v>
      </c>
      <c r="B3" s="4" t="s">
        <v>2842</v>
      </c>
      <c r="C3" s="4" t="s">
        <v>2843</v>
      </c>
      <c r="D3" s="4">
        <v>2.0</v>
      </c>
      <c r="E3" s="4">
        <f t="shared" si="1"/>
        <v>0</v>
      </c>
      <c r="F3" s="4">
        <f t="shared" si="2"/>
        <v>0</v>
      </c>
    </row>
    <row r="4" ht="14.25" customHeight="1">
      <c r="A4" s="4">
        <v>3.0</v>
      </c>
      <c r="B4" s="4" t="s">
        <v>2844</v>
      </c>
      <c r="C4" s="4" t="s">
        <v>2845</v>
      </c>
      <c r="D4" s="4">
        <v>2.0</v>
      </c>
      <c r="E4" s="4">
        <f t="shared" si="1"/>
        <v>0</v>
      </c>
      <c r="F4" s="4">
        <f t="shared" si="2"/>
        <v>0</v>
      </c>
    </row>
    <row r="5" ht="14.25" customHeight="1">
      <c r="A5" s="4">
        <v>4.0</v>
      </c>
      <c r="B5" s="4" t="s">
        <v>2846</v>
      </c>
      <c r="C5" s="4" t="s">
        <v>2847</v>
      </c>
      <c r="D5" s="4">
        <v>5.0</v>
      </c>
      <c r="E5" s="4">
        <f t="shared" si="1"/>
        <v>0</v>
      </c>
      <c r="F5" s="4">
        <f t="shared" si="2"/>
        <v>0</v>
      </c>
    </row>
    <row r="6" ht="14.25" customHeight="1">
      <c r="A6" s="4">
        <v>5.0</v>
      </c>
      <c r="B6" s="4" t="s">
        <v>2848</v>
      </c>
      <c r="C6" s="4" t="s">
        <v>2849</v>
      </c>
      <c r="D6" s="4">
        <v>2.0</v>
      </c>
      <c r="E6" s="4">
        <f t="shared" si="1"/>
        <v>0</v>
      </c>
      <c r="F6" s="4">
        <f t="shared" si="2"/>
        <v>0</v>
      </c>
    </row>
    <row r="7" ht="14.25" customHeight="1">
      <c r="A7" s="4">
        <v>6.0</v>
      </c>
      <c r="B7" s="4" t="s">
        <v>2850</v>
      </c>
      <c r="C7" s="4" t="s">
        <v>2851</v>
      </c>
      <c r="D7" s="4">
        <v>2.0</v>
      </c>
      <c r="E7" s="4">
        <f t="shared" si="1"/>
        <v>0</v>
      </c>
      <c r="F7" s="4">
        <f t="shared" si="2"/>
        <v>0</v>
      </c>
    </row>
    <row r="8" ht="14.25" customHeight="1">
      <c r="A8" s="4">
        <v>7.0</v>
      </c>
      <c r="B8" s="4" t="s">
        <v>65</v>
      </c>
      <c r="C8" s="4" t="s">
        <v>2852</v>
      </c>
      <c r="D8" s="4">
        <v>10.0</v>
      </c>
      <c r="E8" s="4">
        <f t="shared" si="1"/>
        <v>0</v>
      </c>
      <c r="F8" s="4">
        <f t="shared" si="2"/>
        <v>0</v>
      </c>
    </row>
    <row r="9" ht="14.25" customHeight="1">
      <c r="A9" s="4">
        <v>8.0</v>
      </c>
      <c r="B9" s="4" t="s">
        <v>2853</v>
      </c>
      <c r="C9" s="4" t="s">
        <v>2854</v>
      </c>
      <c r="D9" s="4">
        <v>0.0</v>
      </c>
      <c r="E9" s="4">
        <f t="shared" si="1"/>
        <v>0</v>
      </c>
      <c r="F9" s="4">
        <f t="shared" si="2"/>
        <v>0</v>
      </c>
    </row>
    <row r="10" ht="14.25" customHeight="1">
      <c r="A10" s="4">
        <v>9.0</v>
      </c>
      <c r="B10" s="4" t="s">
        <v>2855</v>
      </c>
      <c r="C10" s="4" t="s">
        <v>2856</v>
      </c>
      <c r="D10" s="4">
        <v>0.0</v>
      </c>
      <c r="E10" s="4">
        <f t="shared" si="1"/>
        <v>0</v>
      </c>
      <c r="F10" s="4">
        <f t="shared" si="2"/>
        <v>0</v>
      </c>
    </row>
    <row r="11" ht="14.25" customHeight="1">
      <c r="A11" s="4">
        <v>10.0</v>
      </c>
      <c r="B11" s="4" t="s">
        <v>2817</v>
      </c>
      <c r="C11" s="4" t="s">
        <v>2857</v>
      </c>
      <c r="D11" s="4">
        <v>2.0</v>
      </c>
      <c r="E11" s="4">
        <f t="shared" si="1"/>
        <v>0</v>
      </c>
      <c r="F11" s="4">
        <f t="shared" si="2"/>
        <v>0</v>
      </c>
    </row>
    <row r="12" ht="14.25" customHeight="1">
      <c r="A12" s="4">
        <v>11.0</v>
      </c>
      <c r="B12" s="4" t="s">
        <v>2858</v>
      </c>
      <c r="C12" s="4" t="s">
        <v>2859</v>
      </c>
      <c r="D12" s="4">
        <v>10.0</v>
      </c>
      <c r="E12" s="4">
        <f t="shared" si="1"/>
        <v>0</v>
      </c>
      <c r="F12" s="4">
        <f t="shared" si="2"/>
        <v>0</v>
      </c>
    </row>
    <row r="13" ht="14.25" customHeight="1">
      <c r="A13" s="4">
        <v>12.0</v>
      </c>
      <c r="B13" s="4" t="s">
        <v>2860</v>
      </c>
      <c r="C13" s="4" t="s">
        <v>2861</v>
      </c>
      <c r="D13" s="4">
        <v>1.0</v>
      </c>
      <c r="E13" s="4">
        <f t="shared" si="1"/>
        <v>0</v>
      </c>
      <c r="F13" s="4">
        <f t="shared" si="2"/>
        <v>0</v>
      </c>
    </row>
    <row r="14" ht="14.25" customHeight="1">
      <c r="A14" s="219">
        <v>13.0</v>
      </c>
      <c r="B14" s="219" t="s">
        <v>2862</v>
      </c>
      <c r="C14" s="219"/>
      <c r="D14" s="219"/>
      <c r="E14" s="219"/>
      <c r="F14" s="219">
        <f>SUM(F2:F13)</f>
        <v>0</v>
      </c>
    </row>
    <row r="15" ht="14.25" customHeight="1">
      <c r="A15" s="4">
        <v>14.0</v>
      </c>
      <c r="B15" s="4" t="s">
        <v>2828</v>
      </c>
      <c r="C15" s="4"/>
      <c r="D15" s="4"/>
      <c r="E15" s="4"/>
      <c r="F15" s="4">
        <f>F14*0.03</f>
        <v>0</v>
      </c>
    </row>
    <row r="16" ht="14.25" customHeight="1">
      <c r="A16" s="219">
        <v>15.0</v>
      </c>
      <c r="B16" s="219" t="s">
        <v>2863</v>
      </c>
      <c r="C16" s="219"/>
      <c r="D16" s="219"/>
      <c r="E16" s="219"/>
      <c r="F16" s="219">
        <f>F14+F15</f>
        <v>0</v>
      </c>
    </row>
    <row r="17" ht="14.25" customHeight="1">
      <c r="A17" s="219">
        <v>16.0</v>
      </c>
      <c r="B17" s="219" t="s">
        <v>2823</v>
      </c>
      <c r="C17" s="219"/>
      <c r="D17" s="219"/>
      <c r="E17" s="219"/>
      <c r="F17" s="219">
        <f>F16*0.15</f>
        <v>0</v>
      </c>
    </row>
    <row r="18" ht="14.25" customHeight="1">
      <c r="A18" s="219">
        <v>17.0</v>
      </c>
      <c r="B18" s="219" t="s">
        <v>2864</v>
      </c>
      <c r="C18" s="219"/>
      <c r="D18" s="219"/>
      <c r="E18" s="219"/>
      <c r="F18" s="219">
        <f>F16*0</f>
        <v>0</v>
      </c>
    </row>
    <row r="19" ht="14.25" customHeight="1">
      <c r="A19" s="220">
        <v>18.0</v>
      </c>
      <c r="B19" s="220" t="s">
        <v>2865</v>
      </c>
      <c r="C19" s="220"/>
      <c r="D19" s="220"/>
      <c r="E19" s="220"/>
      <c r="F19" s="220">
        <f>F16*0.02</f>
        <v>0</v>
      </c>
    </row>
    <row r="20" ht="14.25" customHeight="1">
      <c r="A20" s="4">
        <v>19.0</v>
      </c>
      <c r="B20" s="4" t="s">
        <v>2866</v>
      </c>
      <c r="C20" s="4"/>
      <c r="D20" s="4"/>
      <c r="E20" s="4"/>
      <c r="F20" s="4">
        <f>SUM(F16:F19)</f>
        <v>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 ht="14.25" customHeight="1">
      <c r="A1" s="1" t="s">
        <v>2867</v>
      </c>
      <c r="B1" s="1" t="s">
        <v>2868</v>
      </c>
    </row>
    <row r="2" ht="14.25" customHeight="1">
      <c r="A2" s="4" t="s">
        <v>2869</v>
      </c>
      <c r="B2" s="4" t="s">
        <v>2870</v>
      </c>
    </row>
    <row r="3" ht="14.25" customHeight="1">
      <c r="A3" s="4" t="s">
        <v>2871</v>
      </c>
      <c r="B3" s="4" t="s">
        <v>2872</v>
      </c>
    </row>
    <row r="4" ht="14.25" customHeight="1">
      <c r="A4" s="4" t="s">
        <v>2873</v>
      </c>
      <c r="B4" s="4" t="s">
        <v>2874</v>
      </c>
    </row>
    <row r="5" ht="14.25" customHeight="1">
      <c r="A5" s="4" t="s">
        <v>2875</v>
      </c>
      <c r="B5" s="4" t="s">
        <v>2876</v>
      </c>
    </row>
    <row r="6" ht="14.25" customHeight="1">
      <c r="A6" s="4" t="s">
        <v>2877</v>
      </c>
      <c r="B6" s="4" t="s">
        <v>2878</v>
      </c>
    </row>
    <row r="7" ht="14.25" customHeight="1">
      <c r="A7" s="4" t="s">
        <v>2879</v>
      </c>
      <c r="B7" s="4" t="s">
        <v>2880</v>
      </c>
    </row>
    <row r="8" ht="14.25" customHeight="1">
      <c r="A8" s="4" t="s">
        <v>2881</v>
      </c>
      <c r="B8" s="4" t="s">
        <v>2882</v>
      </c>
    </row>
    <row r="9" ht="14.25" customHeight="1">
      <c r="A9" s="4" t="s">
        <v>2883</v>
      </c>
      <c r="B9" s="4" t="s">
        <v>2884</v>
      </c>
    </row>
    <row r="10" ht="14.25" customHeight="1">
      <c r="A10" s="4" t="s">
        <v>2885</v>
      </c>
      <c r="B10" s="4" t="s">
        <v>2886</v>
      </c>
    </row>
    <row r="11" ht="14.25" customHeight="1">
      <c r="A11" s="4" t="s">
        <v>2887</v>
      </c>
      <c r="B11" s="4" t="s">
        <v>2888</v>
      </c>
    </row>
    <row r="12" ht="14.25" customHeight="1">
      <c r="A12" s="4" t="s">
        <v>2889</v>
      </c>
      <c r="B12" s="4" t="s">
        <v>2890</v>
      </c>
    </row>
    <row r="13" ht="14.25" customHeight="1">
      <c r="A13" s="4" t="s">
        <v>2891</v>
      </c>
      <c r="B13" s="4" t="s">
        <v>2892</v>
      </c>
    </row>
    <row r="14" ht="14.25" customHeight="1">
      <c r="A14" s="4" t="s">
        <v>2893</v>
      </c>
      <c r="B14" s="4" t="s">
        <v>2894</v>
      </c>
    </row>
    <row r="15" ht="14.25" customHeight="1">
      <c r="A15" s="4" t="s">
        <v>2895</v>
      </c>
      <c r="B15" s="4" t="s">
        <v>2896</v>
      </c>
    </row>
    <row r="16" ht="14.25" customHeight="1">
      <c r="A16" s="4" t="s">
        <v>2897</v>
      </c>
      <c r="B16" s="4" t="s">
        <v>2898</v>
      </c>
    </row>
    <row r="17" ht="14.25" customHeight="1">
      <c r="A17" s="4" t="s">
        <v>2899</v>
      </c>
      <c r="B17" s="4" t="s">
        <v>2900</v>
      </c>
    </row>
    <row r="18" ht="14.25" customHeight="1">
      <c r="A18" s="4" t="s">
        <v>2901</v>
      </c>
      <c r="B18" s="4" t="s">
        <v>2902</v>
      </c>
    </row>
    <row r="19" ht="14.25" customHeight="1">
      <c r="A19" s="4" t="s">
        <v>2903</v>
      </c>
      <c r="B19" s="4" t="s">
        <v>2904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