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765" yWindow="5715" windowWidth="17760" windowHeight="8790" firstSheet="2" activeTab="3"/>
  </bookViews>
  <sheets>
    <sheet name="Experiment 1" sheetId="1" r:id="rId1"/>
    <sheet name="Experiment 2" sheetId="2" r:id="rId2"/>
    <sheet name="Experiment 3" sheetId="3" r:id="rId3"/>
    <sheet name="webpage" sheetId="5" r:id="rId4"/>
    <sheet name="Control experiment 1" sheetId="4" r:id="rId5"/>
    <sheet name="Sheet1" sheetId="6" r:id="rId6"/>
  </sheets>
  <definedNames>
    <definedName name="_xlnm._FilterDatabase" localSheetId="0" hidden="1">'Experiment 1'!$B$1:$Q$1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2" i="5"/>
  <c r="E7" i="5"/>
  <c r="F3" i="5"/>
  <c r="E3" i="5"/>
  <c r="H6" i="5"/>
  <c r="H4" i="5"/>
  <c r="H2" i="5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F2" i="5" l="1"/>
  <c r="F4" i="5"/>
  <c r="F5" i="5"/>
  <c r="F6" i="5"/>
  <c r="F7" i="5"/>
  <c r="F8" i="5"/>
  <c r="F9" i="5"/>
  <c r="E2" i="5"/>
  <c r="E4" i="5"/>
  <c r="E5" i="5"/>
  <c r="E6" i="5"/>
  <c r="E8" i="5"/>
  <c r="E9" i="5"/>
  <c r="K4" i="4" l="1"/>
  <c r="K5" i="4" s="1"/>
  <c r="K6" i="4" s="1"/>
  <c r="K7" i="4" s="1"/>
  <c r="T5" i="3"/>
  <c r="T6" i="3" s="1"/>
  <c r="T7" i="3" s="1"/>
  <c r="T8" i="3" s="1"/>
  <c r="T9" i="3" s="1"/>
  <c r="T10" i="3" s="1"/>
  <c r="N5" i="2"/>
  <c r="N6" i="2" s="1"/>
  <c r="N7" i="2" s="1"/>
  <c r="N8" i="2" s="1"/>
  <c r="N9" i="2" s="1"/>
  <c r="N10" i="2" s="1"/>
  <c r="I19" i="1"/>
  <c r="I25" i="1" s="1"/>
  <c r="I31" i="1" s="1"/>
  <c r="I37" i="1" s="1"/>
  <c r="I43" i="1" s="1"/>
  <c r="I49" i="1" s="1"/>
  <c r="I55" i="1" s="1"/>
  <c r="I61" i="1" s="1"/>
  <c r="I67" i="1" s="1"/>
  <c r="J7" i="4" l="1"/>
  <c r="G7" i="4"/>
  <c r="D7" i="4"/>
  <c r="J6" i="4" l="1"/>
  <c r="G6" i="4"/>
  <c r="D6" i="4"/>
  <c r="J5" i="4" l="1"/>
  <c r="G5" i="4"/>
  <c r="D5" i="4"/>
  <c r="S9" i="3" l="1"/>
  <c r="S7" i="3"/>
  <c r="P7" i="3"/>
  <c r="M7" i="3"/>
  <c r="J7" i="3"/>
  <c r="G7" i="3" l="1"/>
  <c r="D7" i="3"/>
  <c r="S5" i="3"/>
  <c r="M5" i="3"/>
  <c r="J5" i="3"/>
  <c r="D5" i="3"/>
  <c r="G5" i="3"/>
</calcChain>
</file>

<file path=xl/sharedStrings.xml><?xml version="1.0" encoding="utf-8"?>
<sst xmlns="http://schemas.openxmlformats.org/spreadsheetml/2006/main" count="232" uniqueCount="40">
  <si>
    <t>Sample 1</t>
  </si>
  <si>
    <t>Sample 2</t>
  </si>
  <si>
    <t>Sample 3</t>
  </si>
  <si>
    <t>Sample 4</t>
  </si>
  <si>
    <t>Sample 5</t>
  </si>
  <si>
    <t>Sample 6</t>
  </si>
  <si>
    <t>Sample Number</t>
  </si>
  <si>
    <t>Description</t>
  </si>
  <si>
    <t>Eng Dam water</t>
  </si>
  <si>
    <t>Environoc</t>
  </si>
  <si>
    <t>Clarens</t>
  </si>
  <si>
    <t>Willie</t>
  </si>
  <si>
    <t>Juju Boxer Garden</t>
  </si>
  <si>
    <t>Juju Garden</t>
  </si>
  <si>
    <t>Date</t>
  </si>
  <si>
    <t>Time</t>
  </si>
  <si>
    <t>Juju</t>
  </si>
  <si>
    <t>Initial</t>
  </si>
  <si>
    <t>date and time</t>
  </si>
  <si>
    <t>OD</t>
  </si>
  <si>
    <t>Glucose</t>
  </si>
  <si>
    <t>pH</t>
  </si>
  <si>
    <t>NA</t>
  </si>
  <si>
    <t xml:space="preserve">Mixture of samples 3, 4 and 5 </t>
  </si>
  <si>
    <t>Comment</t>
  </si>
  <si>
    <t>Bio Ceramic disintergrated</t>
  </si>
  <si>
    <t>Bio home disintergrated</t>
  </si>
  <si>
    <t>Date and Time</t>
  </si>
  <si>
    <t>Glucose (g/L)</t>
  </si>
  <si>
    <t>Absorbance</t>
  </si>
  <si>
    <t>sample 1</t>
  </si>
  <si>
    <t>0, 6, 12, 18, 24, 36, 42, 48, 54,60</t>
  </si>
  <si>
    <t>time</t>
  </si>
  <si>
    <t>Column1</t>
  </si>
  <si>
    <t>Column2</t>
  </si>
  <si>
    <t>Growth (OD600)</t>
  </si>
  <si>
    <t>Ammonia</t>
  </si>
  <si>
    <t>Biomass (cells/mL)</t>
  </si>
  <si>
    <t>Biomass(g/L)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</si>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</sst>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0" xfId="0" applyFill="1" applyBorder="1"/>
    <xf numFmtId="22" fontId="0" fillId="0" borderId="0" xfId="0" applyNumberForma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5" formatCode="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Experiment 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 DAM SAMPLE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('Experiment 1'!$D$2,'Experiment 1'!$D$8,'Experiment 1'!$D$14,'Experiment 1'!$D$20,'Experiment 1'!$D$26,'Experiment 1'!$D$32,'Experiment 1'!$D$38,'Experiment 1'!$D$44,'Experiment 1'!$D$50,'Experiment 1'!$D$56,'Experiment 1'!$D$62)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1'!$G$2,'Experiment 1'!$G$8,'Experiment 1'!$G$14,'Experiment 1'!$G$20,'Experiment 1'!$G$26,'Experiment 1'!$G$32,'Experiment 1'!$G$38,'Experiment 1'!$G$44,'Experiment 1'!$G$50,'Experiment 1'!$G$56,'Experiment 1'!$G$62)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0.76500000000000001</c:v>
                </c:pt>
                <c:pt idx="2">
                  <c:v>1.8069999999999999</c:v>
                </c:pt>
                <c:pt idx="3">
                  <c:v>2.1749999999999998</c:v>
                </c:pt>
                <c:pt idx="4">
                  <c:v>2.0070000000000001</c:v>
                </c:pt>
                <c:pt idx="5">
                  <c:v>0.44900000000000001</c:v>
                </c:pt>
                <c:pt idx="6">
                  <c:v>3.069</c:v>
                </c:pt>
                <c:pt idx="7">
                  <c:v>3.3210000000000002</c:v>
                </c:pt>
                <c:pt idx="8">
                  <c:v>2.952</c:v>
                </c:pt>
                <c:pt idx="9">
                  <c:v>2.56</c:v>
                </c:pt>
                <c:pt idx="10">
                  <c:v>3.0760000000000001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3B-4714-82C0-55433530E9A9}"/>
            </c:ext>
          </c:extLst>
        </c:ser>
        <c:ser>
          <c:idx val="1"/>
          <c:order val="1"/>
          <c:tx>
            <c:v>ENVIRONOC</c:v>
          </c:tx>
          <c:spPr>
            <a:ln w="28575">
              <a:noFill/>
            </a:ln>
          </c:spPr>
          <c:xVal>
            <c:numRef>
              <c:f>('Experiment 1'!$D$3,'Experiment 1'!$D$9,'Experiment 1'!$D$15,'Experiment 1'!$D$21,'Experiment 1'!$D$27,'Experiment 1'!$D$33,'Experiment 1'!$D$39,'Experiment 1'!$D$45,'Experiment 1'!$D$51,'Experiment 1'!$D$57,'Experiment 1'!$D$63)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1'!$G$3,'Experiment 1'!$G$9,'Experiment 1'!$G$15,'Experiment 1'!$G$21,'Experiment 1'!$G$27,'Experiment 1'!$G$33,'Experiment 1'!$G$39,'Experiment 1'!$G$45,'Experiment 1'!$G$51,'Experiment 1'!$G$57,'Experiment 1'!$G$63)</c:f>
              <c:numCache>
                <c:formatCode>General</c:formatCode>
                <c:ptCount val="11"/>
                <c:pt idx="0">
                  <c:v>0.32800000000000001</c:v>
                </c:pt>
                <c:pt idx="1">
                  <c:v>0.56699999999999995</c:v>
                </c:pt>
                <c:pt idx="2">
                  <c:v>0.31900000000000001</c:v>
                </c:pt>
                <c:pt idx="3">
                  <c:v>0.747</c:v>
                </c:pt>
                <c:pt idx="4">
                  <c:v>0.41799999999999998</c:v>
                </c:pt>
                <c:pt idx="5">
                  <c:v>0.45600000000000002</c:v>
                </c:pt>
                <c:pt idx="6">
                  <c:v>1.877</c:v>
                </c:pt>
                <c:pt idx="7">
                  <c:v>1.2190000000000001</c:v>
                </c:pt>
                <c:pt idx="8">
                  <c:v>0.83799999999999997</c:v>
                </c:pt>
                <c:pt idx="9">
                  <c:v>0.91800000000000004</c:v>
                </c:pt>
                <c:pt idx="10">
                  <c:v>1.038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3B-4714-82C0-55433530E9A9}"/>
            </c:ext>
          </c:extLst>
        </c:ser>
        <c:ser>
          <c:idx val="2"/>
          <c:order val="2"/>
          <c:tx>
            <c:v>CLARENS</c:v>
          </c:tx>
          <c:spPr>
            <a:ln w="28575">
              <a:noFill/>
            </a:ln>
          </c:spPr>
          <c:xVal>
            <c:numRef>
              <c:f>('Experiment 1'!$D$4,'Experiment 1'!$D$10,'Experiment 1'!$D$16,'Experiment 1'!$D$22,'Experiment 1'!$D$28,'Experiment 1'!$D$34,'Experiment 1'!$D$40,'Experiment 1'!$D$46,'Experiment 1'!$D$52,'Experiment 1'!$D$58,'Experiment 1'!$D$64)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1'!$G$4,'Experiment 1'!$G$10,'Experiment 1'!$G$16,'Experiment 1'!$G$22,'Experiment 1'!$G$28,'Experiment 1'!$G$34,'Experiment 1'!$G$40,'Experiment 1'!$G$46,'Experiment 1'!$G$52,'Experiment 1'!$G$58,'Experiment 1'!$G$64)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0.95899999999999996</c:v>
                </c:pt>
                <c:pt idx="2">
                  <c:v>0.22500000000000001</c:v>
                </c:pt>
                <c:pt idx="3">
                  <c:v>0.76300000000000001</c:v>
                </c:pt>
                <c:pt idx="4">
                  <c:v>0.77800000000000002</c:v>
                </c:pt>
                <c:pt idx="5">
                  <c:v>0.60899999999999999</c:v>
                </c:pt>
                <c:pt idx="6">
                  <c:v>0.82899999999999996</c:v>
                </c:pt>
                <c:pt idx="7">
                  <c:v>0.875</c:v>
                </c:pt>
                <c:pt idx="8">
                  <c:v>0.66700000000000004</c:v>
                </c:pt>
                <c:pt idx="9">
                  <c:v>0.57199999999999995</c:v>
                </c:pt>
                <c:pt idx="10">
                  <c:v>0.71199999999999997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3B-4714-82C0-55433530E9A9}"/>
            </c:ext>
          </c:extLst>
        </c:ser>
        <c:ser>
          <c:idx val="3"/>
          <c:order val="3"/>
          <c:tx>
            <c:v>WILLIE</c:v>
          </c:tx>
          <c:spPr>
            <a:ln w="28575">
              <a:noFill/>
            </a:ln>
          </c:spPr>
          <c:xVal>
            <c:numRef>
              <c:f>('Experiment 1'!$D$5,'Experiment 1'!$D$11,'Experiment 1'!$D$17,'Experiment 1'!$D$23,'Experiment 1'!$D$29,'Experiment 1'!$D$35,'Experiment 1'!$D$41,'Experiment 1'!$D$47,'Experiment 1'!$D$53,'Experiment 1'!$D$59,'Experiment 1'!$D$65)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1'!$G$5,'Experiment 1'!$G$11,'Experiment 1'!$G$17,'Experiment 1'!$G$23,'Experiment 1'!$G$29,'Experiment 1'!$G$35,'Experiment 1'!$G$41,'Experiment 1'!$G$47,'Experiment 1'!$G$53,'Experiment 1'!$G$59,'Experiment 1'!$G$65)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0.57999999999999996</c:v>
                </c:pt>
                <c:pt idx="2">
                  <c:v>0.34300000000000003</c:v>
                </c:pt>
                <c:pt idx="3">
                  <c:v>1.2709999999999999</c:v>
                </c:pt>
                <c:pt idx="4">
                  <c:v>0.69799999999999995</c:v>
                </c:pt>
                <c:pt idx="5">
                  <c:v>0.64</c:v>
                </c:pt>
                <c:pt idx="6">
                  <c:v>0.78200000000000003</c:v>
                </c:pt>
                <c:pt idx="7">
                  <c:v>0.871</c:v>
                </c:pt>
                <c:pt idx="8">
                  <c:v>0.45400000000000001</c:v>
                </c:pt>
                <c:pt idx="9">
                  <c:v>0.51600000000000001</c:v>
                </c:pt>
                <c:pt idx="10">
                  <c:v>0.68799999999999994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3B-4714-82C0-55433530E9A9}"/>
            </c:ext>
          </c:extLst>
        </c:ser>
        <c:ser>
          <c:idx val="4"/>
          <c:order val="4"/>
          <c:tx>
            <c:v>BOXER GARDEN</c:v>
          </c:tx>
          <c:spPr>
            <a:ln w="28575">
              <a:noFill/>
            </a:ln>
          </c:spPr>
          <c:xVal>
            <c:numRef>
              <c:f>('Experiment 1'!$D$6,'Experiment 1'!$D$12,'Experiment 1'!$D$18,'Experiment 1'!$D$24,'Experiment 1'!$D$30,'Experiment 1'!$D$36,'Experiment 1'!$D$42,'Experiment 1'!$D$48,'Experiment 1'!$D$54,'Experiment 1'!$D$60,'Experiment 1'!$D$66)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1'!$G$6,'Experiment 1'!$G$12,'Experiment 1'!$G$18,'Experiment 1'!$G$24,'Experiment 1'!$G$30,'Experiment 1'!$G$36,'Experiment 1'!$G$42,'Experiment 1'!$G$48,'Experiment 1'!$G$54,'Experiment 1'!$G$60,'Experiment 1'!$G$66)</c:f>
              <c:numCache>
                <c:formatCode>General</c:formatCode>
                <c:ptCount val="11"/>
                <c:pt idx="0">
                  <c:v>0.40500000000000003</c:v>
                </c:pt>
                <c:pt idx="1">
                  <c:v>1.3009999999999999</c:v>
                </c:pt>
                <c:pt idx="2">
                  <c:v>0.27500000000000002</c:v>
                </c:pt>
                <c:pt idx="3">
                  <c:v>1.038</c:v>
                </c:pt>
                <c:pt idx="4">
                  <c:v>0.81599999999999995</c:v>
                </c:pt>
                <c:pt idx="5">
                  <c:v>0.995</c:v>
                </c:pt>
                <c:pt idx="6">
                  <c:v>2.2519999999999998</c:v>
                </c:pt>
                <c:pt idx="7">
                  <c:v>2.1949999999999998</c:v>
                </c:pt>
                <c:pt idx="8">
                  <c:v>2.0649999999999999</c:v>
                </c:pt>
                <c:pt idx="9">
                  <c:v>2.456</c:v>
                </c:pt>
                <c:pt idx="10">
                  <c:v>2.1549999999999998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3B-4714-82C0-55433530E9A9}"/>
            </c:ext>
          </c:extLst>
        </c:ser>
        <c:ser>
          <c:idx val="5"/>
          <c:order val="5"/>
          <c:tx>
            <c:v>SIDE GARDEN</c:v>
          </c:tx>
          <c:spPr>
            <a:ln w="28575">
              <a:noFill/>
            </a:ln>
          </c:spPr>
          <c:xVal>
            <c:numRef>
              <c:f>('Experiment 1'!$D$7,'Experiment 1'!$D$13,'Experiment 1'!$D$19,'Experiment 1'!$D$25,'Experiment 1'!$D$31,'Experiment 1'!$D$37,'Experiment 1'!$D$43,'Experiment 1'!$D$49,'Experiment 1'!$D$55,'Experiment 1'!$D$61,'Experiment 1'!$D$67)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1'!$G$7,'Experiment 1'!$G$13,'Experiment 1'!$G$19,'Experiment 1'!$G$25,'Experiment 1'!$G$31,'Experiment 1'!$G$37,'Experiment 1'!$G$43,'Experiment 1'!$G$49,'Experiment 1'!$G$55,'Experiment 1'!$G$61,'Experiment 1'!$G$67)</c:f>
              <c:numCache>
                <c:formatCode>General</c:formatCode>
                <c:ptCount val="11"/>
                <c:pt idx="0">
                  <c:v>0.52800000000000002</c:v>
                </c:pt>
                <c:pt idx="1">
                  <c:v>0.57199999999999995</c:v>
                </c:pt>
                <c:pt idx="2">
                  <c:v>0.88600000000000001</c:v>
                </c:pt>
                <c:pt idx="3">
                  <c:v>0.54600000000000004</c:v>
                </c:pt>
                <c:pt idx="4">
                  <c:v>0.94299999999999995</c:v>
                </c:pt>
                <c:pt idx="5">
                  <c:v>0.76800000000000002</c:v>
                </c:pt>
                <c:pt idx="6">
                  <c:v>1.8480000000000001</c:v>
                </c:pt>
                <c:pt idx="7">
                  <c:v>1.8460000000000001</c:v>
                </c:pt>
                <c:pt idx="8">
                  <c:v>1.7410000000000001</c:v>
                </c:pt>
                <c:pt idx="9">
                  <c:v>1.597</c:v>
                </c:pt>
                <c:pt idx="10">
                  <c:v>1.4139999999999999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43B-4714-82C0-55433530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82432"/>
        <c:axId val="222884608"/>
      </c:scatterChart>
      <c:valAx>
        <c:axId val="2228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 me</a:t>
                </a:r>
              </a:p>
            </c:rich>
          </c:tx>
          <c:overlay val="0"/>
        </c:title>
        <c:numFmt formatCode="[$-409]m/d/yy\ h:mm\ AM/PM;@" sourceLinked="0"/>
        <c:majorTickMark val="out"/>
        <c:minorTickMark val="none"/>
        <c:tickLblPos val="nextTo"/>
        <c:crossAx val="222884608"/>
        <c:crosses val="autoZero"/>
        <c:crossBetween val="midCat"/>
      </c:valAx>
      <c:valAx>
        <c:axId val="222884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882432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92417257893887828"/>
          <c:y val="0.25937280680737651"/>
          <c:w val="7.1223672691615919E-2"/>
          <c:h val="0.44192564471917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Black</a:t>
            </a:r>
            <a:r>
              <a:rPr lang="en-ZA" baseline="0"/>
              <a:t> wheel packing OD Results For Mixed Sample 1</a:t>
            </a:r>
            <a:endParaRPr lang="en-Z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895123330389598E-2"/>
          <c:y val="0.19480351414406533"/>
          <c:w val="0.71481880907849449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Sample 3 OD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2'!$J$3:$J$10</c:f>
              <c:numCache>
                <c:formatCode>General</c:formatCode>
                <c:ptCount val="8"/>
                <c:pt idx="0">
                  <c:v>2.4E-2</c:v>
                </c:pt>
                <c:pt idx="1">
                  <c:v>1.8420000000000001</c:v>
                </c:pt>
                <c:pt idx="2">
                  <c:v>1.7889999999999999</c:v>
                </c:pt>
                <c:pt idx="3">
                  <c:v>1.4530000000000001</c:v>
                </c:pt>
                <c:pt idx="4">
                  <c:v>1.3660000000000001</c:v>
                </c:pt>
                <c:pt idx="5">
                  <c:v>0.81299999999999994</c:v>
                </c:pt>
                <c:pt idx="6">
                  <c:v>0.85299999999999998</c:v>
                </c:pt>
                <c:pt idx="7">
                  <c:v>0.496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F-422E-BFB1-E26560DB0F91}"/>
            </c:ext>
          </c:extLst>
        </c:ser>
        <c:ser>
          <c:idx val="2"/>
          <c:order val="1"/>
          <c:tx>
            <c:v>Sample 4 OD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2'!$L$3:$L$10</c:f>
              <c:numCache>
                <c:formatCode>General</c:formatCode>
                <c:ptCount val="8"/>
                <c:pt idx="0">
                  <c:v>3.9E-2</c:v>
                </c:pt>
                <c:pt idx="1">
                  <c:v>0.77800000000000002</c:v>
                </c:pt>
                <c:pt idx="2">
                  <c:v>0.96199999999999997</c:v>
                </c:pt>
                <c:pt idx="3">
                  <c:v>0.55400000000000005</c:v>
                </c:pt>
                <c:pt idx="4">
                  <c:v>0.41499999999999998</c:v>
                </c:pt>
                <c:pt idx="5">
                  <c:v>0.17499999999999999</c:v>
                </c:pt>
                <c:pt idx="6">
                  <c:v>0.36499999999999999</c:v>
                </c:pt>
                <c:pt idx="7">
                  <c:v>0.22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F-422E-BFB1-E26560DB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9872"/>
        <c:axId val="231216640"/>
      </c:scatterChart>
      <c:valAx>
        <c:axId val="2311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231216640"/>
        <c:crosses val="autoZero"/>
        <c:crossBetween val="midCat"/>
      </c:valAx>
      <c:valAx>
        <c:axId val="231216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 sz="1800" b="1" i="0" baseline="0">
                <a:effectLst/>
              </a:rPr>
              <a:t>Black wheel packing pH Results For Mixed Sample 1</a:t>
            </a:r>
            <a:endParaRPr lang="en-ZA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3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2'!$K$3:$K$10</c:f>
              <c:numCache>
                <c:formatCode>General</c:formatCode>
                <c:ptCount val="8"/>
                <c:pt idx="0">
                  <c:v>7</c:v>
                </c:pt>
                <c:pt idx="1">
                  <c:v>6.4</c:v>
                </c:pt>
                <c:pt idx="2">
                  <c:v>6.4</c:v>
                </c:pt>
                <c:pt idx="3">
                  <c:v>6.5</c:v>
                </c:pt>
                <c:pt idx="4">
                  <c:v>6.3</c:v>
                </c:pt>
                <c:pt idx="5">
                  <c:v>6.3</c:v>
                </c:pt>
                <c:pt idx="6">
                  <c:v>6.2</c:v>
                </c:pt>
                <c:pt idx="7">
                  <c:v>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21-430D-841A-BEC4281BDCEB}"/>
            </c:ext>
          </c:extLst>
        </c:ser>
        <c:ser>
          <c:idx val="1"/>
          <c:order val="1"/>
          <c:tx>
            <c:v>Sample 4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2'!$M$3:$M$10</c:f>
              <c:numCache>
                <c:formatCode>General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6.4</c:v>
                </c:pt>
                <c:pt idx="4">
                  <c:v>5.4</c:v>
                </c:pt>
                <c:pt idx="5">
                  <c:v>6.2</c:v>
                </c:pt>
                <c:pt idx="6">
                  <c:v>6.8</c:v>
                </c:pt>
                <c:pt idx="7">
                  <c:v>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21-430D-841A-BEC4281B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47232"/>
        <c:axId val="231261696"/>
      </c:scatterChart>
      <c:valAx>
        <c:axId val="231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231261696"/>
        <c:crosses val="autoZero"/>
        <c:crossBetween val="midCat"/>
      </c:valAx>
      <c:valAx>
        <c:axId val="231261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layout>
            <c:manualLayout>
              <c:xMode val="edge"/>
              <c:yMode val="edge"/>
              <c:x val="1.6194331983805668E-2"/>
              <c:y val="0.4585666375036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2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 Results for Packed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3'!$B$3:$B$12</c:f>
              <c:numCache>
                <c:formatCode>General</c:formatCode>
                <c:ptCount val="10"/>
                <c:pt idx="0">
                  <c:v>5.2</c:v>
                </c:pt>
                <c:pt idx="2">
                  <c:v>7.2</c:v>
                </c:pt>
                <c:pt idx="3">
                  <c:v>7.3</c:v>
                </c:pt>
                <c:pt idx="4">
                  <c:v>7.2</c:v>
                </c:pt>
                <c:pt idx="5">
                  <c:v>6.9</c:v>
                </c:pt>
                <c:pt idx="6">
                  <c:v>7.2</c:v>
                </c:pt>
                <c:pt idx="7">
                  <c:v>7.9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D-492C-ACE8-12D7EEF5D603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3'!$E$3:$E$12</c:f>
              <c:numCache>
                <c:formatCode>General</c:formatCode>
                <c:ptCount val="10"/>
                <c:pt idx="0">
                  <c:v>5.9</c:v>
                </c:pt>
                <c:pt idx="2">
                  <c:v>7.1</c:v>
                </c:pt>
                <c:pt idx="3">
                  <c:v>7.2</c:v>
                </c:pt>
                <c:pt idx="4">
                  <c:v>5.6</c:v>
                </c:pt>
                <c:pt idx="5">
                  <c:v>5.6</c:v>
                </c:pt>
                <c:pt idx="6">
                  <c:v>6.5</c:v>
                </c:pt>
                <c:pt idx="7">
                  <c:v>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D-492C-ACE8-12D7EEF5D603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3'!$H$3:$H$12</c:f>
              <c:numCache>
                <c:formatCode>General</c:formatCode>
                <c:ptCount val="10"/>
                <c:pt idx="0">
                  <c:v>5.2</c:v>
                </c:pt>
                <c:pt idx="2">
                  <c:v>7.3</c:v>
                </c:pt>
                <c:pt idx="3">
                  <c:v>7.1</c:v>
                </c:pt>
                <c:pt idx="4">
                  <c:v>7.4</c:v>
                </c:pt>
                <c:pt idx="5">
                  <c:v>7.4</c:v>
                </c:pt>
                <c:pt idx="6">
                  <c:v>7.6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BD-492C-ACE8-12D7EEF5D603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3'!$K$3:$K$12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7.4</c:v>
                </c:pt>
                <c:pt idx="4">
                  <c:v>7.2</c:v>
                </c:pt>
                <c:pt idx="5">
                  <c:v>6.3</c:v>
                </c:pt>
                <c:pt idx="6">
                  <c:v>7.5</c:v>
                </c:pt>
                <c:pt idx="7">
                  <c:v>7.9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BD-492C-ACE8-12D7EEF5D603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3'!$N$3:$N$12</c:f>
              <c:numCache>
                <c:formatCode>General</c:formatCode>
                <c:ptCount val="10"/>
                <c:pt idx="0">
                  <c:v>5.2</c:v>
                </c:pt>
                <c:pt idx="2">
                  <c:v>7</c:v>
                </c:pt>
                <c:pt idx="3">
                  <c:v>7.2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BD-492C-ACE8-12D7EEF5D603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3'!$Q$3:$Q$12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7.5</c:v>
                </c:pt>
                <c:pt idx="4">
                  <c:v>7.3</c:v>
                </c:pt>
                <c:pt idx="5">
                  <c:v>7.1</c:v>
                </c:pt>
                <c:pt idx="6">
                  <c:v>7.2</c:v>
                </c:pt>
                <c:pt idx="7">
                  <c:v>6.9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BD-492C-ACE8-12D7EEF5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1520"/>
        <c:axId val="231373440"/>
      </c:scatterChart>
      <c:valAx>
        <c:axId val="2313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ad Time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231373440"/>
        <c:crosses val="autoZero"/>
        <c:crossBetween val="midCat"/>
      </c:valAx>
      <c:valAx>
        <c:axId val="231373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7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OD Results for Packed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3'!$C$3:$C$12</c:f>
              <c:numCache>
                <c:formatCode>General</c:formatCode>
                <c:ptCount val="10"/>
                <c:pt idx="0">
                  <c:v>0</c:v>
                </c:pt>
                <c:pt idx="1">
                  <c:v>2.5000000000000001E-2</c:v>
                </c:pt>
                <c:pt idx="2">
                  <c:v>1.3919999999999999</c:v>
                </c:pt>
                <c:pt idx="3">
                  <c:v>1.7283999999999999</c:v>
                </c:pt>
                <c:pt idx="4">
                  <c:v>1.9795</c:v>
                </c:pt>
                <c:pt idx="5">
                  <c:v>2.0118</c:v>
                </c:pt>
                <c:pt idx="6">
                  <c:v>2.464</c:v>
                </c:pt>
                <c:pt idx="7">
                  <c:v>2.16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5A-4088-8F27-7DC14A04EBFA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3'!$F$3:$F$12</c:f>
              <c:numCache>
                <c:formatCode>General</c:formatCode>
                <c:ptCount val="10"/>
                <c:pt idx="0">
                  <c:v>0</c:v>
                </c:pt>
                <c:pt idx="1">
                  <c:v>7.2999999999999995E-2</c:v>
                </c:pt>
                <c:pt idx="2">
                  <c:v>1.7589999999999999</c:v>
                </c:pt>
                <c:pt idx="3">
                  <c:v>1.7468999999999999</c:v>
                </c:pt>
                <c:pt idx="4">
                  <c:v>1.9966999999999999</c:v>
                </c:pt>
                <c:pt idx="5">
                  <c:v>2.0975000000000001</c:v>
                </c:pt>
                <c:pt idx="7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5A-4088-8F27-7DC14A04EBFA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3'!$I$3:$I$12</c:f>
              <c:numCache>
                <c:formatCode>General</c:formatCode>
                <c:ptCount val="10"/>
                <c:pt idx="0">
                  <c:v>0</c:v>
                </c:pt>
                <c:pt idx="1">
                  <c:v>2.3E-2</c:v>
                </c:pt>
                <c:pt idx="2">
                  <c:v>1.0940000000000001</c:v>
                </c:pt>
                <c:pt idx="3">
                  <c:v>1.2781</c:v>
                </c:pt>
                <c:pt idx="4">
                  <c:v>0.57999999999999996</c:v>
                </c:pt>
                <c:pt idx="5">
                  <c:v>1.0019</c:v>
                </c:pt>
                <c:pt idx="6">
                  <c:v>0.39600000000000002</c:v>
                </c:pt>
                <c:pt idx="7">
                  <c:v>7.8E-2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5A-4088-8F27-7DC14A04EBFA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3'!$L$3:$L$12</c:f>
              <c:numCache>
                <c:formatCode>General</c:formatCode>
                <c:ptCount val="10"/>
                <c:pt idx="0">
                  <c:v>0</c:v>
                </c:pt>
                <c:pt idx="1">
                  <c:v>5.8000000000000003E-2</c:v>
                </c:pt>
                <c:pt idx="2">
                  <c:v>7.4999999999999997E-2</c:v>
                </c:pt>
                <c:pt idx="3">
                  <c:v>1.0290999999999999</c:v>
                </c:pt>
                <c:pt idx="4">
                  <c:v>0.97970000000000002</c:v>
                </c:pt>
                <c:pt idx="5">
                  <c:v>1.1267</c:v>
                </c:pt>
                <c:pt idx="6">
                  <c:v>1.4670000000000001</c:v>
                </c:pt>
                <c:pt idx="7">
                  <c:v>0.44400000000000001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5A-4088-8F27-7DC14A04EBFA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1.5640000000000001</c:v>
                </c:pt>
                <c:pt idx="3">
                  <c:v>4.7199999999999999E-2</c:v>
                </c:pt>
                <c:pt idx="4">
                  <c:v>0.77</c:v>
                </c:pt>
                <c:pt idx="5">
                  <c:v>0.89090000000000003</c:v>
                </c:pt>
                <c:pt idx="6">
                  <c:v>0.49299999999999999</c:v>
                </c:pt>
                <c:pt idx="7">
                  <c:v>-1.9E-2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5A-4088-8F27-7DC14A04EBFA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3'!$R$3:$R$12</c:f>
              <c:numCache>
                <c:formatCode>General</c:formatCode>
                <c:ptCount val="10"/>
                <c:pt idx="0">
                  <c:v>0</c:v>
                </c:pt>
                <c:pt idx="1">
                  <c:v>3.6999999999999998E-2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0.1953</c:v>
                </c:pt>
                <c:pt idx="5">
                  <c:v>0.24940000000000001</c:v>
                </c:pt>
                <c:pt idx="6">
                  <c:v>0.92500000000000004</c:v>
                </c:pt>
                <c:pt idx="7">
                  <c:v>0.434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95A-4088-8F27-7DC14A04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86976"/>
        <c:axId val="231488896"/>
      </c:scatterChart>
      <c:valAx>
        <c:axId val="2314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Time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231488896"/>
        <c:crosses val="autoZero"/>
        <c:crossBetween val="midCat"/>
      </c:valAx>
      <c:valAx>
        <c:axId val="231488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8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 Results for Packed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3'!$D$3:$D$12</c:f>
              <c:numCache>
                <c:formatCode>General</c:formatCode>
                <c:ptCount val="10"/>
                <c:pt idx="0">
                  <c:v>5</c:v>
                </c:pt>
                <c:pt idx="2">
                  <c:v>1.3691856</c:v>
                </c:pt>
                <c:pt idx="4">
                  <c:v>0.43237439999999999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B4-4CC3-A933-3E41EAE887CE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3'!$G$3:$G$12</c:f>
              <c:numCache>
                <c:formatCode>General</c:formatCode>
                <c:ptCount val="10"/>
                <c:pt idx="0">
                  <c:v>10</c:v>
                </c:pt>
                <c:pt idx="2">
                  <c:v>4.7561184000000001</c:v>
                </c:pt>
                <c:pt idx="4">
                  <c:v>4.1976348000000003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B4-4CC3-A933-3E41EAE887CE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3'!$J$3:$J$12</c:f>
              <c:numCache>
                <c:formatCode>General</c:formatCode>
                <c:ptCount val="10"/>
                <c:pt idx="0">
                  <c:v>5</c:v>
                </c:pt>
                <c:pt idx="2">
                  <c:v>0.45039000000000001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B4-4CC3-A933-3E41EAE887CE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3'!$M$3:$M$12</c:f>
              <c:numCache>
                <c:formatCode>General</c:formatCode>
                <c:ptCount val="10"/>
                <c:pt idx="0">
                  <c:v>10</c:v>
                </c:pt>
                <c:pt idx="2">
                  <c:v>6.9179903999999999</c:v>
                </c:pt>
                <c:pt idx="4">
                  <c:v>5.0984148000000005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B4-4CC3-A933-3E41EAE887CE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3'!$P$3:$P$12</c:f>
              <c:numCache>
                <c:formatCode>General</c:formatCode>
                <c:ptCount val="10"/>
                <c:pt idx="0">
                  <c:v>5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B4-4CC3-A933-3E41EAE887CE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3'!$S$3:$S$12</c:f>
              <c:numCache>
                <c:formatCode>General</c:formatCode>
                <c:ptCount val="10"/>
                <c:pt idx="0">
                  <c:v>10</c:v>
                </c:pt>
                <c:pt idx="2">
                  <c:v>7.9628952000000011</c:v>
                </c:pt>
                <c:pt idx="4">
                  <c:v>6.5937096000000004</c:v>
                </c:pt>
                <c:pt idx="6">
                  <c:v>0.5764992000000001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FB4-4CC3-A933-3E41EAE8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34752"/>
        <c:axId val="234094976"/>
      </c:scatterChart>
      <c:valAx>
        <c:axId val="2338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094976"/>
        <c:crosses val="autoZero"/>
        <c:crossBetween val="midCat"/>
      </c:valAx>
      <c:valAx>
        <c:axId val="23409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3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1'!$B$3:$B$7</c:f>
              <c:numCache>
                <c:formatCode>General</c:formatCode>
                <c:ptCount val="5"/>
                <c:pt idx="0">
                  <c:v>5.4</c:v>
                </c:pt>
                <c:pt idx="1">
                  <c:v>4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BB-46C6-979F-83BABB151073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1'!$E$3:$E$8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4</c:v>
                </c:pt>
                <c:pt idx="2">
                  <c:v>3.9</c:v>
                </c:pt>
                <c:pt idx="3">
                  <c:v>3.7</c:v>
                </c:pt>
                <c:pt idx="4">
                  <c:v>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B-46C6-979F-83BABB151073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1'!$H$3:$H$8</c:f>
              <c:numCache>
                <c:formatCode>General</c:formatCode>
                <c:ptCount val="6"/>
                <c:pt idx="0">
                  <c:v>5.4</c:v>
                </c:pt>
                <c:pt idx="1">
                  <c:v>4</c:v>
                </c:pt>
                <c:pt idx="2">
                  <c:v>4</c:v>
                </c:pt>
                <c:pt idx="3">
                  <c:v>3.9</c:v>
                </c:pt>
                <c:pt idx="4">
                  <c:v>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BB-46C6-979F-83BABB15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7280"/>
        <c:axId val="234179200"/>
      </c:scatterChart>
      <c:valAx>
        <c:axId val="2341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234179200"/>
        <c:crosses val="autoZero"/>
        <c:crossBetween val="midCat"/>
      </c:valAx>
      <c:valAx>
        <c:axId val="234179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7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Absorbance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6C-43B3-B6D9-192672E184E8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6C-43B3-B6D9-192672E184E8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6C-43B3-B6D9-192672E1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7104"/>
        <c:axId val="234221568"/>
      </c:scatterChart>
      <c:valAx>
        <c:axId val="2342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234221568"/>
        <c:crosses val="autoZero"/>
        <c:crossBetween val="midCat"/>
      </c:valAx>
      <c:valAx>
        <c:axId val="234221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2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Glucose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1'!$D$3:$D$8</c:f>
              <c:numCache>
                <c:formatCode>General</c:formatCode>
                <c:ptCount val="6"/>
                <c:pt idx="0">
                  <c:v>10</c:v>
                </c:pt>
                <c:pt idx="1">
                  <c:v>10.5</c:v>
                </c:pt>
                <c:pt idx="2">
                  <c:v>11.3137968</c:v>
                </c:pt>
                <c:pt idx="3">
                  <c:v>8.8276439999999994</c:v>
                </c:pt>
                <c:pt idx="4">
                  <c:v>4.6119936000000008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F-4EC8-92C2-FED8D51D3738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1'!$G$3:$G$8</c:f>
              <c:numCache>
                <c:formatCode>General</c:formatCode>
                <c:ptCount val="6"/>
                <c:pt idx="0">
                  <c:v>5</c:v>
                </c:pt>
                <c:pt idx="1">
                  <c:v>4.6399999999999997</c:v>
                </c:pt>
                <c:pt idx="2">
                  <c:v>3.8012916000000003</c:v>
                </c:pt>
                <c:pt idx="3">
                  <c:v>3.2428080000000001</c:v>
                </c:pt>
                <c:pt idx="4">
                  <c:v>1.7655288000000002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F-4EC8-92C2-FED8D51D3738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1'!$J$3:$J$8</c:f>
              <c:numCache>
                <c:formatCode>General</c:formatCode>
                <c:ptCount val="6"/>
                <c:pt idx="0">
                  <c:v>10</c:v>
                </c:pt>
                <c:pt idx="1">
                  <c:v>11.16</c:v>
                </c:pt>
                <c:pt idx="2">
                  <c:v>10.7372976</c:v>
                </c:pt>
                <c:pt idx="3">
                  <c:v>8.0349576000000003</c:v>
                </c:pt>
                <c:pt idx="4">
                  <c:v>9.2239872000000016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0F-4EC8-92C2-FED8D51D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41024"/>
        <c:axId val="234255488"/>
      </c:scatterChart>
      <c:valAx>
        <c:axId val="234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255488"/>
        <c:crosses val="autoZero"/>
        <c:crossBetween val="midCat"/>
      </c:valAx>
      <c:valAx>
        <c:axId val="234255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Glucose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24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809384</xdr:colOff>
      <xdr:row>50</xdr:row>
      <xdr:rowOff>103013</xdr:rowOff>
    </xdr:from>
    <xdr:to>
      <xdr:col>37</xdr:col>
      <xdr:colOff>406614</xdr:colOff>
      <xdr:row>82</xdr:row>
      <xdr:rowOff>142475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90768</xdr:colOff>
      <xdr:row>11</xdr:row>
      <xdr:rowOff>31376</xdr:rowOff>
    </xdr:from>
    <xdr:to>
      <xdr:col>8</xdr:col>
      <xdr:colOff>1019736</xdr:colOff>
      <xdr:row>25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53787</xdr:colOff>
      <xdr:row>26</xdr:row>
      <xdr:rowOff>98612</xdr:rowOff>
    </xdr:from>
    <xdr:to>
      <xdr:col>8</xdr:col>
      <xdr:colOff>973230</xdr:colOff>
      <xdr:row>40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180975</xdr:rowOff>
    </xdr:from>
    <xdr:to>
      <xdr:col>16</xdr:col>
      <xdr:colOff>19050</xdr:colOff>
      <xdr:row>34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6883</xdr:colOff>
      <xdr:row>35</xdr:row>
      <xdr:rowOff>114460</xdr:rowOff>
    </xdr:from>
    <xdr:to>
      <xdr:col>16</xdr:col>
      <xdr:colOff>9525</xdr:colOff>
      <xdr:row>51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165206</xdr:rowOff>
    </xdr:from>
    <xdr:to>
      <xdr:col>16</xdr:col>
      <xdr:colOff>0</xdr:colOff>
      <xdr:row>69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76200</xdr:rowOff>
    </xdr:from>
    <xdr:to>
      <xdr:col>17</xdr:col>
      <xdr:colOff>57150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17</xdr:col>
      <xdr:colOff>123825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44</xdr:row>
      <xdr:rowOff>0</xdr:rowOff>
    </xdr:from>
    <xdr:to>
      <xdr:col>17</xdr:col>
      <xdr:colOff>171449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:I67" totalsRowShown="0">
  <autoFilter ref="D1:I67"/>
  <tableColumns count="6">
    <tableColumn id="1" name="date and time" dataDxfId="11"/>
    <tableColumn id="2" name="Sample Number"/>
    <tableColumn id="3" name="Description"/>
    <tableColumn id="4" name="Juju"/>
    <tableColumn id="5" name="Column1"/>
    <tableColumn id="6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9" totalsRowShown="0">
  <autoFilter ref="A1:H9"/>
  <tableColumns count="8">
    <tableColumn id="1" name="Time"/>
    <tableColumn id="2" name="Growth (OD600)" dataDxfId="10"/>
    <tableColumn id="3" name="pH" dataDxfId="9"/>
    <tableColumn id="4" name="Ammonia"/>
    <tableColumn id="5" name="Biomass (cells/mL)" dataDxfId="8">
      <calculatedColumnFormula>4.9*10^7*B2</calculatedColumnFormula>
    </tableColumn>
    <tableColumn id="6" name="Biomass(g/L)" dataDxfId="7">
      <calculatedColumnFormula>2.464*B2+0.023</calculatedColumnFormula>
    </tableColumn>
    <tableColumn id="7" name="Biomass" dataDxfId="0">
      <calculatedColumnFormula>(1000*Table2[[#This Row],[Biomass(g/L)]])/24.6</calculatedColumnFormula>
    </tableColumn>
    <tableColumn id="8" name="Glucos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9" totalsRowShown="0">
  <autoFilter ref="A1:G9"/>
  <tableColumns count="7">
    <tableColumn id="1" name="Time"/>
    <tableColumn id="2" name="Growth (OD600)" dataDxfId="6"/>
    <tableColumn id="3" name="pH" dataDxfId="5"/>
    <tableColumn id="4" name="Ammonia"/>
    <tableColumn id="5" name="Biomass (cells/mL)" dataDxfId="4">
      <calculatedColumnFormula>4.9*10^7*B2</calculatedColumnFormula>
    </tableColumn>
    <tableColumn id="6" name="Biomass(g/L)" dataDxfId="3">
      <calculatedColumnFormula>2.464*B2+0.023</calculatedColumnFormula>
    </tableColumn>
    <tableColumn id="7" name="Biomass" dataDxfId="2">
      <calculatedColumnFormula>2.464*B2+0.023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D1" zoomScale="85" zoomScaleNormal="85" workbookViewId="0">
      <selection activeCell="D1" sqref="D1:I67"/>
    </sheetView>
  </sheetViews>
  <sheetFormatPr defaultRowHeight="15" x14ac:dyDescent="0.25"/>
  <cols>
    <col min="2" max="2" width="11.140625" style="1" bestFit="1" customWidth="1"/>
    <col min="3" max="3" width="11.5703125" style="2" bestFit="1" customWidth="1"/>
    <col min="4" max="4" width="15.28515625" style="3" bestFit="1" customWidth="1"/>
    <col min="5" max="5" width="16.5703125" customWidth="1"/>
    <col min="6" max="6" width="17.28515625" bestFit="1" customWidth="1"/>
    <col min="7" max="7" width="17.42578125" bestFit="1" customWidth="1"/>
    <col min="8" max="9" width="10.42578125" customWidth="1"/>
    <col min="11" max="11" width="15.42578125" bestFit="1" customWidth="1"/>
  </cols>
  <sheetData>
    <row r="1" spans="1:12" x14ac:dyDescent="0.25">
      <c r="B1" s="1" t="s">
        <v>14</v>
      </c>
      <c r="C1" s="2" t="s">
        <v>15</v>
      </c>
      <c r="D1" s="3" t="s">
        <v>18</v>
      </c>
      <c r="E1" t="s">
        <v>6</v>
      </c>
      <c r="F1" t="s">
        <v>7</v>
      </c>
      <c r="G1" t="s">
        <v>16</v>
      </c>
      <c r="H1" t="s">
        <v>33</v>
      </c>
      <c r="I1" t="s">
        <v>34</v>
      </c>
    </row>
    <row r="2" spans="1:12" x14ac:dyDescent="0.25">
      <c r="A2" t="s">
        <v>17</v>
      </c>
      <c r="B2" s="1">
        <v>43871</v>
      </c>
      <c r="C2" s="2">
        <v>0.54166666666666663</v>
      </c>
      <c r="D2" s="3">
        <v>43871.541666666664</v>
      </c>
      <c r="E2" t="s">
        <v>0</v>
      </c>
      <c r="F2" t="s">
        <v>8</v>
      </c>
      <c r="G2">
        <v>8.4000000000000005E-2</v>
      </c>
      <c r="H2">
        <v>0</v>
      </c>
      <c r="K2" t="s">
        <v>30</v>
      </c>
      <c r="L2" t="s">
        <v>31</v>
      </c>
    </row>
    <row r="3" spans="1:12" x14ac:dyDescent="0.25">
      <c r="B3" s="1">
        <v>43871</v>
      </c>
      <c r="C3" s="2">
        <v>0.54166666666666663</v>
      </c>
      <c r="D3" s="3">
        <v>43871.541666666664</v>
      </c>
      <c r="E3" t="s">
        <v>1</v>
      </c>
      <c r="F3" t="s">
        <v>9</v>
      </c>
      <c r="G3">
        <v>0.32800000000000001</v>
      </c>
      <c r="H3">
        <v>1</v>
      </c>
    </row>
    <row r="4" spans="1:12" x14ac:dyDescent="0.25">
      <c r="B4" s="1">
        <v>43871</v>
      </c>
      <c r="C4" s="2">
        <v>0.54166666666666696</v>
      </c>
      <c r="D4" s="3">
        <v>43871.541666666701</v>
      </c>
      <c r="E4" t="s">
        <v>2</v>
      </c>
      <c r="F4" t="s">
        <v>10</v>
      </c>
      <c r="G4">
        <v>0.48299999999999998</v>
      </c>
      <c r="H4">
        <v>2</v>
      </c>
    </row>
    <row r="5" spans="1:12" x14ac:dyDescent="0.25">
      <c r="B5" s="1">
        <v>43871</v>
      </c>
      <c r="C5" s="2">
        <v>0.54166666666666696</v>
      </c>
      <c r="D5" s="3">
        <v>43871.541666666701</v>
      </c>
      <c r="E5" t="s">
        <v>3</v>
      </c>
      <c r="F5" t="s">
        <v>11</v>
      </c>
      <c r="G5">
        <v>0.40100000000000002</v>
      </c>
      <c r="H5">
        <v>3</v>
      </c>
    </row>
    <row r="6" spans="1:12" x14ac:dyDescent="0.25">
      <c r="B6" s="1">
        <v>43871</v>
      </c>
      <c r="C6" s="2">
        <v>0.54166666666666696</v>
      </c>
      <c r="D6" s="3">
        <v>43871.541666666701</v>
      </c>
      <c r="E6" t="s">
        <v>4</v>
      </c>
      <c r="F6" t="s">
        <v>12</v>
      </c>
      <c r="G6">
        <v>0.40500000000000003</v>
      </c>
      <c r="H6">
        <v>4</v>
      </c>
    </row>
    <row r="7" spans="1:12" x14ac:dyDescent="0.25">
      <c r="B7" s="1">
        <v>43871</v>
      </c>
      <c r="C7" s="2">
        <v>0.54166666666666696</v>
      </c>
      <c r="D7" s="3">
        <v>43871.541666666701</v>
      </c>
      <c r="E7" t="s">
        <v>5</v>
      </c>
      <c r="F7" t="s">
        <v>13</v>
      </c>
      <c r="G7">
        <v>0.52800000000000002</v>
      </c>
      <c r="H7">
        <v>5</v>
      </c>
      <c r="I7">
        <v>0</v>
      </c>
    </row>
    <row r="8" spans="1:12" x14ac:dyDescent="0.25">
      <c r="A8">
        <v>1</v>
      </c>
      <c r="B8" s="1">
        <v>43871</v>
      </c>
      <c r="C8" s="2">
        <v>0.58333333333333337</v>
      </c>
      <c r="D8" s="3">
        <v>43871.583333333336</v>
      </c>
      <c r="E8" t="s">
        <v>0</v>
      </c>
      <c r="F8" t="s">
        <v>8</v>
      </c>
      <c r="G8">
        <v>0.76500000000000001</v>
      </c>
      <c r="H8">
        <v>6</v>
      </c>
    </row>
    <row r="9" spans="1:12" x14ac:dyDescent="0.25">
      <c r="B9" s="1">
        <v>43871</v>
      </c>
      <c r="C9" s="2">
        <v>0.58333333333333337</v>
      </c>
      <c r="D9" s="3">
        <v>43871.583333333336</v>
      </c>
      <c r="E9" t="s">
        <v>1</v>
      </c>
      <c r="F9" t="s">
        <v>9</v>
      </c>
      <c r="G9">
        <v>0.56699999999999995</v>
      </c>
      <c r="H9">
        <v>7</v>
      </c>
    </row>
    <row r="10" spans="1:12" x14ac:dyDescent="0.25">
      <c r="B10" s="1">
        <v>43871</v>
      </c>
      <c r="C10" s="2">
        <v>0.58333333333333304</v>
      </c>
      <c r="D10" s="3">
        <v>43871.583333333299</v>
      </c>
      <c r="E10" t="s">
        <v>2</v>
      </c>
      <c r="F10" t="s">
        <v>10</v>
      </c>
      <c r="G10">
        <v>0.95899999999999996</v>
      </c>
      <c r="H10">
        <v>8</v>
      </c>
    </row>
    <row r="11" spans="1:12" x14ac:dyDescent="0.25">
      <c r="B11" s="1">
        <v>43871</v>
      </c>
      <c r="C11" s="2">
        <v>0.58333333333333304</v>
      </c>
      <c r="D11" s="3">
        <v>43871.583333333299</v>
      </c>
      <c r="E11" t="s">
        <v>3</v>
      </c>
      <c r="F11" t="s">
        <v>11</v>
      </c>
      <c r="G11">
        <v>0.57999999999999996</v>
      </c>
      <c r="H11">
        <v>9</v>
      </c>
    </row>
    <row r="12" spans="1:12" x14ac:dyDescent="0.25">
      <c r="B12" s="1">
        <v>43871</v>
      </c>
      <c r="C12" s="2">
        <v>0.58333333333333304</v>
      </c>
      <c r="D12" s="3">
        <v>43871.583333333299</v>
      </c>
      <c r="E12" t="s">
        <v>4</v>
      </c>
      <c r="F12" t="s">
        <v>12</v>
      </c>
      <c r="G12">
        <v>1.3009999999999999</v>
      </c>
      <c r="H12">
        <v>10</v>
      </c>
    </row>
    <row r="13" spans="1:12" x14ac:dyDescent="0.25">
      <c r="B13" s="1">
        <v>43871</v>
      </c>
      <c r="C13" s="2">
        <v>0.58333333333333304</v>
      </c>
      <c r="D13" s="3">
        <v>43871.583333333299</v>
      </c>
      <c r="E13" t="s">
        <v>5</v>
      </c>
      <c r="F13" t="s">
        <v>13</v>
      </c>
      <c r="G13">
        <v>0.57199999999999995</v>
      </c>
      <c r="H13">
        <v>11</v>
      </c>
      <c r="I13">
        <v>1</v>
      </c>
    </row>
    <row r="14" spans="1:12" x14ac:dyDescent="0.25">
      <c r="A14">
        <v>2</v>
      </c>
      <c r="B14" s="1">
        <v>43872</v>
      </c>
      <c r="C14" s="2">
        <v>0.25</v>
      </c>
      <c r="D14" s="3">
        <v>43872.25</v>
      </c>
      <c r="E14" t="s">
        <v>0</v>
      </c>
      <c r="F14" t="s">
        <v>8</v>
      </c>
      <c r="G14">
        <v>1.8069999999999999</v>
      </c>
      <c r="H14">
        <v>12</v>
      </c>
    </row>
    <row r="15" spans="1:12" x14ac:dyDescent="0.25">
      <c r="B15" s="1">
        <v>43872</v>
      </c>
      <c r="C15" s="2">
        <v>0.25</v>
      </c>
      <c r="D15" s="3">
        <v>43872.25</v>
      </c>
      <c r="E15" t="s">
        <v>1</v>
      </c>
      <c r="F15" t="s">
        <v>9</v>
      </c>
      <c r="G15">
        <v>0.31900000000000001</v>
      </c>
      <c r="H15">
        <v>13</v>
      </c>
    </row>
    <row r="16" spans="1:12" x14ac:dyDescent="0.25">
      <c r="B16" s="1">
        <v>43872</v>
      </c>
      <c r="C16" s="2">
        <v>0.25</v>
      </c>
      <c r="D16" s="3">
        <v>43872.25</v>
      </c>
      <c r="E16" t="s">
        <v>2</v>
      </c>
      <c r="F16" t="s">
        <v>10</v>
      </c>
      <c r="G16">
        <v>0.22500000000000001</v>
      </c>
      <c r="H16">
        <v>14</v>
      </c>
    </row>
    <row r="17" spans="1:9" x14ac:dyDescent="0.25">
      <c r="B17" s="1">
        <v>43872</v>
      </c>
      <c r="C17" s="2">
        <v>0.25</v>
      </c>
      <c r="D17" s="3">
        <v>43872.25</v>
      </c>
      <c r="E17" t="s">
        <v>3</v>
      </c>
      <c r="F17" t="s">
        <v>11</v>
      </c>
      <c r="G17">
        <v>0.34300000000000003</v>
      </c>
      <c r="H17">
        <v>15</v>
      </c>
    </row>
    <row r="18" spans="1:9" x14ac:dyDescent="0.25">
      <c r="B18" s="1">
        <v>43872</v>
      </c>
      <c r="C18" s="2">
        <v>0.25</v>
      </c>
      <c r="D18" s="3">
        <v>43872.25</v>
      </c>
      <c r="E18" t="s">
        <v>4</v>
      </c>
      <c r="F18" t="s">
        <v>12</v>
      </c>
      <c r="G18">
        <v>0.27500000000000002</v>
      </c>
      <c r="H18">
        <v>16</v>
      </c>
    </row>
    <row r="19" spans="1:9" x14ac:dyDescent="0.25">
      <c r="B19" s="1">
        <v>43872</v>
      </c>
      <c r="C19" s="2">
        <v>0.25</v>
      </c>
      <c r="D19" s="3">
        <v>43872.25</v>
      </c>
      <c r="E19" t="s">
        <v>5</v>
      </c>
      <c r="F19" t="s">
        <v>13</v>
      </c>
      <c r="G19">
        <v>0.88600000000000001</v>
      </c>
      <c r="H19">
        <v>17</v>
      </c>
      <c r="I19">
        <f>I13+16</f>
        <v>17</v>
      </c>
    </row>
    <row r="20" spans="1:9" x14ac:dyDescent="0.25">
      <c r="A20">
        <v>3</v>
      </c>
      <c r="B20" s="1">
        <v>43872</v>
      </c>
      <c r="C20" s="2">
        <v>0.64583333333333337</v>
      </c>
      <c r="D20" s="3">
        <v>43872.645833333336</v>
      </c>
      <c r="E20" t="s">
        <v>0</v>
      </c>
      <c r="F20" t="s">
        <v>8</v>
      </c>
      <c r="G20">
        <v>2.1749999999999998</v>
      </c>
      <c r="H20">
        <v>18</v>
      </c>
    </row>
    <row r="21" spans="1:9" x14ac:dyDescent="0.25">
      <c r="B21" s="1">
        <v>43872</v>
      </c>
      <c r="C21" s="2">
        <v>0.64583333333333337</v>
      </c>
      <c r="D21" s="3">
        <v>43872.645833333336</v>
      </c>
      <c r="E21" t="s">
        <v>1</v>
      </c>
      <c r="F21" t="s">
        <v>9</v>
      </c>
      <c r="G21">
        <v>0.747</v>
      </c>
      <c r="H21">
        <v>19</v>
      </c>
    </row>
    <row r="22" spans="1:9" x14ac:dyDescent="0.25">
      <c r="B22" s="1">
        <v>43872</v>
      </c>
      <c r="C22" s="2">
        <v>0.64583333333333304</v>
      </c>
      <c r="D22" s="3">
        <v>43872.645833333299</v>
      </c>
      <c r="E22" t="s">
        <v>2</v>
      </c>
      <c r="F22" t="s">
        <v>10</v>
      </c>
      <c r="G22">
        <v>0.76300000000000001</v>
      </c>
      <c r="H22">
        <v>20</v>
      </c>
    </row>
    <row r="23" spans="1:9" x14ac:dyDescent="0.25">
      <c r="B23" s="1">
        <v>43872</v>
      </c>
      <c r="C23" s="2">
        <v>0.64583333333333304</v>
      </c>
      <c r="D23" s="3">
        <v>43872.645833333299</v>
      </c>
      <c r="E23" t="s">
        <v>3</v>
      </c>
      <c r="F23" t="s">
        <v>11</v>
      </c>
      <c r="G23">
        <v>1.2709999999999999</v>
      </c>
      <c r="H23">
        <v>21</v>
      </c>
    </row>
    <row r="24" spans="1:9" x14ac:dyDescent="0.25">
      <c r="B24" s="1">
        <v>43872</v>
      </c>
      <c r="C24" s="2">
        <v>0.64583333333333304</v>
      </c>
      <c r="D24" s="3">
        <v>43872.645833333299</v>
      </c>
      <c r="E24" t="s">
        <v>4</v>
      </c>
      <c r="F24" t="s">
        <v>12</v>
      </c>
      <c r="G24">
        <v>1.038</v>
      </c>
      <c r="H24">
        <v>22</v>
      </c>
    </row>
    <row r="25" spans="1:9" x14ac:dyDescent="0.25">
      <c r="B25" s="1">
        <v>43872</v>
      </c>
      <c r="C25" s="2">
        <v>0.64583333333333304</v>
      </c>
      <c r="D25" s="3">
        <v>43872.645833333299</v>
      </c>
      <c r="E25" t="s">
        <v>5</v>
      </c>
      <c r="F25" t="s">
        <v>13</v>
      </c>
      <c r="G25">
        <v>0.54600000000000004</v>
      </c>
      <c r="H25">
        <v>23</v>
      </c>
      <c r="I25">
        <f>I19+6+3.5</f>
        <v>26.5</v>
      </c>
    </row>
    <row r="26" spans="1:9" x14ac:dyDescent="0.25">
      <c r="A26">
        <v>4</v>
      </c>
      <c r="B26" s="1">
        <v>43873</v>
      </c>
      <c r="C26" s="2">
        <v>0.27083333333333331</v>
      </c>
      <c r="D26" s="3">
        <v>43873.270833333336</v>
      </c>
      <c r="E26" t="s">
        <v>0</v>
      </c>
      <c r="F26" t="s">
        <v>8</v>
      </c>
      <c r="G26">
        <v>2.0070000000000001</v>
      </c>
      <c r="H26">
        <v>24</v>
      </c>
    </row>
    <row r="27" spans="1:9" x14ac:dyDescent="0.25">
      <c r="B27" s="1">
        <v>43874</v>
      </c>
      <c r="C27" s="2">
        <v>0.27083333333333331</v>
      </c>
      <c r="D27" s="3">
        <v>43873.270833333336</v>
      </c>
      <c r="E27" t="s">
        <v>1</v>
      </c>
      <c r="F27" t="s">
        <v>9</v>
      </c>
      <c r="G27">
        <v>0.41799999999999998</v>
      </c>
      <c r="H27">
        <v>25</v>
      </c>
    </row>
    <row r="28" spans="1:9" x14ac:dyDescent="0.25">
      <c r="B28" s="1">
        <v>43875</v>
      </c>
      <c r="C28" s="2">
        <v>0.27083333333333298</v>
      </c>
      <c r="D28" s="3">
        <v>43873.270833333299</v>
      </c>
      <c r="E28" t="s">
        <v>2</v>
      </c>
      <c r="F28" t="s">
        <v>10</v>
      </c>
      <c r="G28">
        <v>0.77800000000000002</v>
      </c>
      <c r="H28">
        <v>26</v>
      </c>
    </row>
    <row r="29" spans="1:9" x14ac:dyDescent="0.25">
      <c r="B29" s="1">
        <v>43876</v>
      </c>
      <c r="C29" s="2">
        <v>0.27083333333333298</v>
      </c>
      <c r="D29" s="3">
        <v>43873.270833333299</v>
      </c>
      <c r="E29" t="s">
        <v>3</v>
      </c>
      <c r="F29" t="s">
        <v>11</v>
      </c>
      <c r="G29">
        <v>0.69799999999999995</v>
      </c>
      <c r="H29">
        <v>27</v>
      </c>
    </row>
    <row r="30" spans="1:9" x14ac:dyDescent="0.25">
      <c r="B30" s="1">
        <v>43877</v>
      </c>
      <c r="C30" s="2">
        <v>0.27083333333333298</v>
      </c>
      <c r="D30" s="3">
        <v>43873.270833333299</v>
      </c>
      <c r="E30" t="s">
        <v>4</v>
      </c>
      <c r="F30" t="s">
        <v>12</v>
      </c>
      <c r="G30">
        <v>0.81599999999999995</v>
      </c>
      <c r="H30">
        <v>28</v>
      </c>
    </row>
    <row r="31" spans="1:9" x14ac:dyDescent="0.25">
      <c r="B31" s="1">
        <v>43878</v>
      </c>
      <c r="C31" s="2">
        <v>0.27083333333333298</v>
      </c>
      <c r="D31" s="3">
        <v>43873.270833333299</v>
      </c>
      <c r="E31" t="s">
        <v>5</v>
      </c>
      <c r="F31" t="s">
        <v>13</v>
      </c>
      <c r="G31">
        <v>0.94299999999999995</v>
      </c>
      <c r="H31">
        <v>29</v>
      </c>
      <c r="I31">
        <f>I25+15</f>
        <v>41.5</v>
      </c>
    </row>
    <row r="32" spans="1:9" x14ac:dyDescent="0.25">
      <c r="A32">
        <v>5</v>
      </c>
      <c r="B32" s="1">
        <v>43879</v>
      </c>
      <c r="C32" s="2">
        <v>0.51388888888888895</v>
      </c>
      <c r="D32" s="3">
        <v>43873.513888888891</v>
      </c>
      <c r="E32" t="s">
        <v>0</v>
      </c>
      <c r="F32" t="s">
        <v>8</v>
      </c>
      <c r="G32">
        <v>0.44900000000000001</v>
      </c>
      <c r="H32">
        <v>30</v>
      </c>
    </row>
    <row r="33" spans="1:9" x14ac:dyDescent="0.25">
      <c r="B33" s="1">
        <v>43880</v>
      </c>
      <c r="C33" s="2">
        <v>0.51388888888888895</v>
      </c>
      <c r="D33" s="3">
        <v>43873.513888888891</v>
      </c>
      <c r="E33" t="s">
        <v>1</v>
      </c>
      <c r="F33" t="s">
        <v>9</v>
      </c>
      <c r="G33">
        <v>0.45600000000000002</v>
      </c>
      <c r="H33">
        <v>31</v>
      </c>
    </row>
    <row r="34" spans="1:9" x14ac:dyDescent="0.25">
      <c r="B34" s="1">
        <v>43881</v>
      </c>
      <c r="C34" s="2">
        <v>0.51388888888888895</v>
      </c>
      <c r="D34" s="3">
        <v>43873.513888888898</v>
      </c>
      <c r="E34" t="s">
        <v>2</v>
      </c>
      <c r="F34" t="s">
        <v>10</v>
      </c>
      <c r="G34">
        <v>0.60899999999999999</v>
      </c>
      <c r="H34">
        <v>32</v>
      </c>
    </row>
    <row r="35" spans="1:9" x14ac:dyDescent="0.25">
      <c r="B35" s="1">
        <v>43882</v>
      </c>
      <c r="C35" s="2">
        <v>0.51388888888888895</v>
      </c>
      <c r="D35" s="3">
        <v>43873.513888888898</v>
      </c>
      <c r="E35" t="s">
        <v>3</v>
      </c>
      <c r="F35" t="s">
        <v>11</v>
      </c>
      <c r="G35">
        <v>0.64</v>
      </c>
      <c r="H35">
        <v>33</v>
      </c>
    </row>
    <row r="36" spans="1:9" x14ac:dyDescent="0.25">
      <c r="B36" s="1">
        <v>43883</v>
      </c>
      <c r="C36" s="2">
        <v>0.51388888888888895</v>
      </c>
      <c r="D36" s="3">
        <v>43873.513888888898</v>
      </c>
      <c r="E36" t="s">
        <v>4</v>
      </c>
      <c r="F36" t="s">
        <v>12</v>
      </c>
      <c r="G36">
        <v>0.995</v>
      </c>
      <c r="H36">
        <v>34</v>
      </c>
    </row>
    <row r="37" spans="1:9" x14ac:dyDescent="0.25">
      <c r="B37" s="1">
        <v>43884</v>
      </c>
      <c r="C37" s="2">
        <v>0.51388888888888895</v>
      </c>
      <c r="D37" s="3">
        <v>43873.513888888898</v>
      </c>
      <c r="E37" t="s">
        <v>5</v>
      </c>
      <c r="F37" t="s">
        <v>13</v>
      </c>
      <c r="G37">
        <v>0.76800000000000002</v>
      </c>
      <c r="H37">
        <v>35</v>
      </c>
      <c r="I37">
        <f>I31+6</f>
        <v>47.5</v>
      </c>
    </row>
    <row r="38" spans="1:9" x14ac:dyDescent="0.25">
      <c r="A38">
        <v>6</v>
      </c>
      <c r="B38" s="1">
        <v>43885</v>
      </c>
      <c r="C38" s="2">
        <v>0.27083333333333331</v>
      </c>
      <c r="D38" s="3">
        <v>43874.270833333336</v>
      </c>
      <c r="E38" t="s">
        <v>0</v>
      </c>
      <c r="F38" t="s">
        <v>8</v>
      </c>
      <c r="G38">
        <v>3.069</v>
      </c>
      <c r="H38">
        <v>36</v>
      </c>
    </row>
    <row r="39" spans="1:9" x14ac:dyDescent="0.25">
      <c r="B39" s="1">
        <v>43886</v>
      </c>
      <c r="C39" s="2">
        <v>0.27083333333333331</v>
      </c>
      <c r="D39" s="3">
        <v>43874.270833333336</v>
      </c>
      <c r="E39" t="s">
        <v>1</v>
      </c>
      <c r="F39" t="s">
        <v>9</v>
      </c>
      <c r="G39">
        <v>1.877</v>
      </c>
      <c r="H39">
        <v>37</v>
      </c>
    </row>
    <row r="40" spans="1:9" x14ac:dyDescent="0.25">
      <c r="B40" s="1">
        <v>43887</v>
      </c>
      <c r="C40" s="2">
        <v>0.27083333333333298</v>
      </c>
      <c r="D40" s="3">
        <v>43874.270833333299</v>
      </c>
      <c r="E40" t="s">
        <v>2</v>
      </c>
      <c r="F40" t="s">
        <v>10</v>
      </c>
      <c r="G40">
        <v>0.82899999999999996</v>
      </c>
      <c r="H40">
        <v>38</v>
      </c>
    </row>
    <row r="41" spans="1:9" x14ac:dyDescent="0.25">
      <c r="B41" s="1">
        <v>43888</v>
      </c>
      <c r="C41" s="2">
        <v>0.27083333333333298</v>
      </c>
      <c r="D41" s="3">
        <v>43874.270833333299</v>
      </c>
      <c r="E41" t="s">
        <v>3</v>
      </c>
      <c r="F41" t="s">
        <v>11</v>
      </c>
      <c r="G41">
        <v>0.78200000000000003</v>
      </c>
      <c r="H41">
        <v>39</v>
      </c>
    </row>
    <row r="42" spans="1:9" x14ac:dyDescent="0.25">
      <c r="B42" s="1">
        <v>43889</v>
      </c>
      <c r="C42" s="2">
        <v>0.27083333333333298</v>
      </c>
      <c r="D42" s="3">
        <v>43874.270833333299</v>
      </c>
      <c r="E42" t="s">
        <v>4</v>
      </c>
      <c r="F42" t="s">
        <v>12</v>
      </c>
      <c r="G42">
        <v>2.2519999999999998</v>
      </c>
      <c r="H42">
        <v>40</v>
      </c>
    </row>
    <row r="43" spans="1:9" x14ac:dyDescent="0.25">
      <c r="B43" s="1">
        <v>43890</v>
      </c>
      <c r="C43" s="2">
        <v>0.27083333333333298</v>
      </c>
      <c r="D43" s="3">
        <v>43874.270833333299</v>
      </c>
      <c r="E43" t="s">
        <v>5</v>
      </c>
      <c r="F43" t="s">
        <v>13</v>
      </c>
      <c r="G43">
        <v>1.8480000000000001</v>
      </c>
      <c r="H43">
        <v>41</v>
      </c>
      <c r="I43">
        <f>I37+12</f>
        <v>59.5</v>
      </c>
    </row>
    <row r="44" spans="1:9" x14ac:dyDescent="0.25">
      <c r="A44">
        <v>7</v>
      </c>
      <c r="B44" s="1">
        <v>43891</v>
      </c>
      <c r="C44" s="2">
        <v>0.46875</v>
      </c>
      <c r="D44" s="3">
        <v>43874.46875</v>
      </c>
      <c r="E44" t="s">
        <v>0</v>
      </c>
      <c r="F44" t="s">
        <v>8</v>
      </c>
      <c r="G44">
        <v>3.3210000000000002</v>
      </c>
      <c r="H44">
        <v>42</v>
      </c>
    </row>
    <row r="45" spans="1:9" x14ac:dyDescent="0.25">
      <c r="B45" s="1">
        <v>43892</v>
      </c>
      <c r="C45" s="2">
        <v>0.46875</v>
      </c>
      <c r="D45" s="3">
        <v>43874.46875</v>
      </c>
      <c r="E45" t="s">
        <v>1</v>
      </c>
      <c r="F45" t="s">
        <v>9</v>
      </c>
      <c r="G45">
        <v>1.2190000000000001</v>
      </c>
      <c r="H45">
        <v>43</v>
      </c>
    </row>
    <row r="46" spans="1:9" x14ac:dyDescent="0.25">
      <c r="B46" s="1">
        <v>43893</v>
      </c>
      <c r="C46" s="2">
        <v>0.46875</v>
      </c>
      <c r="D46" s="3">
        <v>43874.46875</v>
      </c>
      <c r="E46" t="s">
        <v>2</v>
      </c>
      <c r="F46" t="s">
        <v>10</v>
      </c>
      <c r="G46">
        <v>0.875</v>
      </c>
      <c r="H46">
        <v>44</v>
      </c>
    </row>
    <row r="47" spans="1:9" x14ac:dyDescent="0.25">
      <c r="B47" s="1">
        <v>43894</v>
      </c>
      <c r="C47" s="2">
        <v>0.46875</v>
      </c>
      <c r="D47" s="3">
        <v>43874.46875</v>
      </c>
      <c r="E47" t="s">
        <v>3</v>
      </c>
      <c r="F47" t="s">
        <v>11</v>
      </c>
      <c r="G47">
        <v>0.871</v>
      </c>
      <c r="H47">
        <v>45</v>
      </c>
    </row>
    <row r="48" spans="1:9" x14ac:dyDescent="0.25">
      <c r="B48" s="1">
        <v>43895</v>
      </c>
      <c r="C48" s="2">
        <v>0.46875</v>
      </c>
      <c r="D48" s="3">
        <v>43874.46875</v>
      </c>
      <c r="E48" t="s">
        <v>4</v>
      </c>
      <c r="F48" t="s">
        <v>12</v>
      </c>
      <c r="G48">
        <v>2.1949999999999998</v>
      </c>
      <c r="H48">
        <v>46</v>
      </c>
    </row>
    <row r="49" spans="1:9" x14ac:dyDescent="0.25">
      <c r="B49" s="1">
        <v>43896</v>
      </c>
      <c r="C49" s="2">
        <v>0.46875</v>
      </c>
      <c r="D49" s="3">
        <v>43874.46875</v>
      </c>
      <c r="E49" t="s">
        <v>5</v>
      </c>
      <c r="F49" t="s">
        <v>13</v>
      </c>
      <c r="G49">
        <v>1.8460000000000001</v>
      </c>
      <c r="H49">
        <v>47</v>
      </c>
      <c r="I49">
        <f>I43+5</f>
        <v>64.5</v>
      </c>
    </row>
    <row r="50" spans="1:9" x14ac:dyDescent="0.25">
      <c r="A50">
        <v>8</v>
      </c>
      <c r="B50" s="1">
        <v>43897</v>
      </c>
      <c r="C50" s="2">
        <v>0.67708333333333337</v>
      </c>
      <c r="D50" s="3">
        <v>43874.677083333336</v>
      </c>
      <c r="E50" t="s">
        <v>0</v>
      </c>
      <c r="F50" t="s">
        <v>8</v>
      </c>
      <c r="G50">
        <v>2.952</v>
      </c>
      <c r="H50">
        <v>48</v>
      </c>
    </row>
    <row r="51" spans="1:9" x14ac:dyDescent="0.25">
      <c r="B51" s="1">
        <v>43898</v>
      </c>
      <c r="C51" s="2">
        <v>0.67708333333333337</v>
      </c>
      <c r="D51" s="3">
        <v>43874.677083333336</v>
      </c>
      <c r="E51" t="s">
        <v>1</v>
      </c>
      <c r="F51" t="s">
        <v>9</v>
      </c>
      <c r="G51">
        <v>0.83799999999999997</v>
      </c>
      <c r="H51">
        <v>49</v>
      </c>
    </row>
    <row r="52" spans="1:9" x14ac:dyDescent="0.25">
      <c r="B52" s="1">
        <v>43899</v>
      </c>
      <c r="C52" s="2">
        <v>0.67708333333333304</v>
      </c>
      <c r="D52" s="3">
        <v>43874.677083333299</v>
      </c>
      <c r="E52" t="s">
        <v>2</v>
      </c>
      <c r="F52" t="s">
        <v>10</v>
      </c>
      <c r="G52">
        <v>0.66700000000000004</v>
      </c>
      <c r="H52">
        <v>50</v>
      </c>
    </row>
    <row r="53" spans="1:9" x14ac:dyDescent="0.25">
      <c r="B53" s="1">
        <v>43900</v>
      </c>
      <c r="C53" s="2">
        <v>0.67708333333333304</v>
      </c>
      <c r="D53" s="3">
        <v>43874.677083333299</v>
      </c>
      <c r="E53" t="s">
        <v>3</v>
      </c>
      <c r="F53" t="s">
        <v>11</v>
      </c>
      <c r="G53">
        <v>0.45400000000000001</v>
      </c>
      <c r="H53">
        <v>51</v>
      </c>
    </row>
    <row r="54" spans="1:9" x14ac:dyDescent="0.25">
      <c r="B54" s="1">
        <v>43901</v>
      </c>
      <c r="C54" s="2">
        <v>0.67708333333333304</v>
      </c>
      <c r="D54" s="3">
        <v>43874.677083333299</v>
      </c>
      <c r="E54" t="s">
        <v>4</v>
      </c>
      <c r="F54" t="s">
        <v>12</v>
      </c>
      <c r="G54">
        <v>2.0649999999999999</v>
      </c>
      <c r="H54">
        <v>52</v>
      </c>
    </row>
    <row r="55" spans="1:9" x14ac:dyDescent="0.25">
      <c r="B55" s="1">
        <v>43902</v>
      </c>
      <c r="C55" s="2">
        <v>0.67708333333333304</v>
      </c>
      <c r="D55" s="3">
        <v>43874.677083333299</v>
      </c>
      <c r="E55" t="s">
        <v>5</v>
      </c>
      <c r="F55" t="s">
        <v>13</v>
      </c>
      <c r="G55">
        <v>1.7410000000000001</v>
      </c>
      <c r="H55">
        <v>53</v>
      </c>
      <c r="I55">
        <f>I49+5</f>
        <v>69.5</v>
      </c>
    </row>
    <row r="56" spans="1:9" x14ac:dyDescent="0.25">
      <c r="A56">
        <v>9</v>
      </c>
      <c r="B56" s="1">
        <v>43903</v>
      </c>
      <c r="C56" s="2">
        <v>0.27083333333333331</v>
      </c>
      <c r="D56" s="3">
        <v>43875.270833333336</v>
      </c>
      <c r="E56" t="s">
        <v>0</v>
      </c>
      <c r="F56" t="s">
        <v>8</v>
      </c>
      <c r="G56">
        <v>2.56</v>
      </c>
      <c r="H56">
        <v>54</v>
      </c>
    </row>
    <row r="57" spans="1:9" x14ac:dyDescent="0.25">
      <c r="B57" s="1">
        <v>43904</v>
      </c>
      <c r="C57" s="2">
        <v>0.27083333333333331</v>
      </c>
      <c r="D57" s="3">
        <v>43875.270833333336</v>
      </c>
      <c r="E57" t="s">
        <v>1</v>
      </c>
      <c r="F57" t="s">
        <v>9</v>
      </c>
      <c r="G57">
        <v>0.91800000000000004</v>
      </c>
      <c r="H57">
        <v>55</v>
      </c>
    </row>
    <row r="58" spans="1:9" x14ac:dyDescent="0.25">
      <c r="B58" s="1">
        <v>43905</v>
      </c>
      <c r="C58" s="2">
        <v>0.27083333333333298</v>
      </c>
      <c r="D58" s="3">
        <v>43875.270833333299</v>
      </c>
      <c r="E58" t="s">
        <v>2</v>
      </c>
      <c r="F58" t="s">
        <v>10</v>
      </c>
      <c r="G58">
        <v>0.57199999999999995</v>
      </c>
      <c r="H58">
        <v>56</v>
      </c>
    </row>
    <row r="59" spans="1:9" x14ac:dyDescent="0.25">
      <c r="B59" s="1">
        <v>43906</v>
      </c>
      <c r="C59" s="2">
        <v>0.27083333333333298</v>
      </c>
      <c r="D59" s="3">
        <v>43875.270833333299</v>
      </c>
      <c r="E59" t="s">
        <v>3</v>
      </c>
      <c r="F59" t="s">
        <v>11</v>
      </c>
      <c r="G59">
        <v>0.51600000000000001</v>
      </c>
      <c r="H59">
        <v>57</v>
      </c>
    </row>
    <row r="60" spans="1:9" x14ac:dyDescent="0.25">
      <c r="B60" s="1">
        <v>43907</v>
      </c>
      <c r="C60" s="2">
        <v>0.27083333333333298</v>
      </c>
      <c r="D60" s="3">
        <v>43875.270833333299</v>
      </c>
      <c r="E60" t="s">
        <v>4</v>
      </c>
      <c r="F60" t="s">
        <v>12</v>
      </c>
      <c r="G60">
        <v>2.456</v>
      </c>
      <c r="H60">
        <v>58</v>
      </c>
    </row>
    <row r="61" spans="1:9" x14ac:dyDescent="0.25">
      <c r="B61" s="1">
        <v>43908</v>
      </c>
      <c r="C61" s="2">
        <v>0.27083333333333298</v>
      </c>
      <c r="D61" s="3">
        <v>43875.270833333299</v>
      </c>
      <c r="E61" t="s">
        <v>5</v>
      </c>
      <c r="F61" t="s">
        <v>13</v>
      </c>
      <c r="G61">
        <v>1.597</v>
      </c>
      <c r="H61">
        <v>59</v>
      </c>
      <c r="I61">
        <f>I55+14</f>
        <v>83.5</v>
      </c>
    </row>
    <row r="62" spans="1:9" x14ac:dyDescent="0.25">
      <c r="A62">
        <v>10</v>
      </c>
      <c r="B62" s="1">
        <v>43909</v>
      </c>
      <c r="C62" s="2">
        <v>0.44791666666666669</v>
      </c>
      <c r="D62" s="3">
        <v>43875.447916666664</v>
      </c>
      <c r="E62" t="s">
        <v>0</v>
      </c>
      <c r="F62" t="s">
        <v>8</v>
      </c>
      <c r="G62">
        <v>3.0760000000000001</v>
      </c>
      <c r="H62">
        <v>60</v>
      </c>
    </row>
    <row r="63" spans="1:9" x14ac:dyDescent="0.25">
      <c r="B63" s="1">
        <v>43910</v>
      </c>
      <c r="C63" s="2">
        <v>0.44791666666666669</v>
      </c>
      <c r="D63" s="3">
        <v>43875.447916666664</v>
      </c>
      <c r="E63" t="s">
        <v>1</v>
      </c>
      <c r="F63" t="s">
        <v>9</v>
      </c>
      <c r="G63">
        <v>1.038</v>
      </c>
      <c r="H63">
        <v>61</v>
      </c>
    </row>
    <row r="64" spans="1:9" x14ac:dyDescent="0.25">
      <c r="B64" s="1">
        <v>43911</v>
      </c>
      <c r="C64" s="2">
        <v>0.44791666666666702</v>
      </c>
      <c r="D64" s="3">
        <v>43875.447916666701</v>
      </c>
      <c r="E64" t="s">
        <v>2</v>
      </c>
      <c r="F64" t="s">
        <v>10</v>
      </c>
      <c r="G64">
        <v>0.71199999999999997</v>
      </c>
      <c r="H64">
        <v>62</v>
      </c>
    </row>
    <row r="65" spans="2:9" x14ac:dyDescent="0.25">
      <c r="B65" s="1">
        <v>43912</v>
      </c>
      <c r="C65" s="2">
        <v>0.44791666666666702</v>
      </c>
      <c r="D65" s="3">
        <v>43875.447916666701</v>
      </c>
      <c r="E65" t="s">
        <v>3</v>
      </c>
      <c r="F65" t="s">
        <v>11</v>
      </c>
      <c r="G65">
        <v>0.68799999999999994</v>
      </c>
      <c r="H65">
        <v>63</v>
      </c>
    </row>
    <row r="66" spans="2:9" x14ac:dyDescent="0.25">
      <c r="B66" s="1">
        <v>43913</v>
      </c>
      <c r="C66" s="2">
        <v>0.44791666666666702</v>
      </c>
      <c r="D66" s="3">
        <v>43875.447916666701</v>
      </c>
      <c r="E66" t="s">
        <v>4</v>
      </c>
      <c r="F66" t="s">
        <v>12</v>
      </c>
      <c r="G66">
        <v>2.1549999999999998</v>
      </c>
      <c r="H66">
        <v>64</v>
      </c>
    </row>
    <row r="67" spans="2:9" x14ac:dyDescent="0.25">
      <c r="B67" s="1">
        <v>43914</v>
      </c>
      <c r="C67" s="2">
        <v>0.44791666666666702</v>
      </c>
      <c r="D67" s="3">
        <v>43875.447916666701</v>
      </c>
      <c r="E67" t="s">
        <v>5</v>
      </c>
      <c r="F67" t="s">
        <v>13</v>
      </c>
      <c r="G67">
        <v>1.4139999999999999</v>
      </c>
      <c r="H67">
        <v>65</v>
      </c>
      <c r="I67">
        <f>I61+4</f>
        <v>87.5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5" zoomScaleNormal="85" workbookViewId="0">
      <selection activeCell="M3" sqref="M3:M10"/>
    </sheetView>
  </sheetViews>
  <sheetFormatPr defaultRowHeight="15" x14ac:dyDescent="0.25"/>
  <cols>
    <col min="1" max="1" width="27.7109375" bestFit="1" customWidth="1"/>
    <col min="9" max="9" width="16.42578125" bestFit="1" customWidth="1"/>
  </cols>
  <sheetData>
    <row r="1" spans="1:14" x14ac:dyDescent="0.25">
      <c r="A1" t="s">
        <v>23</v>
      </c>
      <c r="J1" s="14" t="s">
        <v>2</v>
      </c>
      <c r="K1" s="14"/>
      <c r="L1" s="14" t="s">
        <v>3</v>
      </c>
      <c r="M1" s="14"/>
    </row>
    <row r="2" spans="1:14" x14ac:dyDescent="0.25">
      <c r="C2" t="s">
        <v>19</v>
      </c>
      <c r="D2" t="s">
        <v>20</v>
      </c>
      <c r="E2" t="s">
        <v>21</v>
      </c>
      <c r="F2" t="s">
        <v>24</v>
      </c>
      <c r="J2" t="s">
        <v>19</v>
      </c>
      <c r="K2" t="s">
        <v>21</v>
      </c>
      <c r="L2" t="s">
        <v>19</v>
      </c>
      <c r="M2" t="s">
        <v>21</v>
      </c>
      <c r="N2" t="s">
        <v>32</v>
      </c>
    </row>
    <row r="3" spans="1:14" x14ac:dyDescent="0.25">
      <c r="A3" s="1">
        <v>43875.541666666664</v>
      </c>
      <c r="B3" t="s">
        <v>0</v>
      </c>
      <c r="C3" t="s">
        <v>22</v>
      </c>
      <c r="D3" t="s">
        <v>22</v>
      </c>
      <c r="E3" t="s">
        <v>22</v>
      </c>
      <c r="F3" t="s">
        <v>25</v>
      </c>
      <c r="I3" s="1">
        <v>43875.541666666664</v>
      </c>
      <c r="J3">
        <v>2.4E-2</v>
      </c>
      <c r="K3">
        <v>7</v>
      </c>
      <c r="L3">
        <v>3.9E-2</v>
      </c>
      <c r="M3">
        <v>7</v>
      </c>
      <c r="N3">
        <v>0</v>
      </c>
    </row>
    <row r="4" spans="1:14" x14ac:dyDescent="0.25">
      <c r="A4" s="1">
        <v>43875.541666666664</v>
      </c>
      <c r="B4" t="s">
        <v>1</v>
      </c>
      <c r="C4" t="s">
        <v>22</v>
      </c>
      <c r="D4" t="s">
        <v>22</v>
      </c>
      <c r="E4" t="s">
        <v>22</v>
      </c>
      <c r="I4" s="4">
        <v>43878.270833333336</v>
      </c>
      <c r="J4">
        <v>1.8420000000000001</v>
      </c>
      <c r="K4">
        <v>6.4</v>
      </c>
      <c r="L4">
        <v>0.77800000000000002</v>
      </c>
      <c r="M4">
        <v>6.5</v>
      </c>
      <c r="N4">
        <v>66</v>
      </c>
    </row>
    <row r="5" spans="1:14" x14ac:dyDescent="0.25">
      <c r="A5" s="1">
        <v>43875</v>
      </c>
      <c r="B5" t="s">
        <v>2</v>
      </c>
      <c r="C5">
        <v>2.4E-2</v>
      </c>
      <c r="D5">
        <v>12.3</v>
      </c>
      <c r="E5">
        <v>7</v>
      </c>
      <c r="I5" s="4">
        <v>43878.416666666664</v>
      </c>
      <c r="J5">
        <v>1.7889999999999999</v>
      </c>
      <c r="K5">
        <v>6.4</v>
      </c>
      <c r="L5">
        <v>0.96199999999999997</v>
      </c>
      <c r="M5">
        <v>6.5</v>
      </c>
      <c r="N5">
        <f>N4+5</f>
        <v>71</v>
      </c>
    </row>
    <row r="6" spans="1:14" x14ac:dyDescent="0.25">
      <c r="A6" s="1">
        <v>43875</v>
      </c>
      <c r="B6" t="s">
        <v>3</v>
      </c>
      <c r="C6">
        <v>3.9E-2</v>
      </c>
      <c r="D6">
        <v>12.3</v>
      </c>
      <c r="E6">
        <v>7</v>
      </c>
      <c r="I6" s="4">
        <v>43879.270833333336</v>
      </c>
      <c r="J6">
        <v>1.4530000000000001</v>
      </c>
      <c r="K6">
        <v>6.5</v>
      </c>
      <c r="L6">
        <v>0.55400000000000005</v>
      </c>
      <c r="M6">
        <v>6.4</v>
      </c>
      <c r="N6">
        <f>N5+21</f>
        <v>92</v>
      </c>
    </row>
    <row r="7" spans="1:14" x14ac:dyDescent="0.25">
      <c r="A7" s="1">
        <v>43875</v>
      </c>
      <c r="B7" t="s">
        <v>4</v>
      </c>
      <c r="C7" t="s">
        <v>22</v>
      </c>
      <c r="D7" t="s">
        <v>22</v>
      </c>
      <c r="E7" t="s">
        <v>22</v>
      </c>
      <c r="F7" t="s">
        <v>26</v>
      </c>
      <c r="I7" s="4">
        <v>43879.666666666664</v>
      </c>
      <c r="J7">
        <v>1.3660000000000001</v>
      </c>
      <c r="K7">
        <v>6.3</v>
      </c>
      <c r="L7">
        <v>0.41499999999999998</v>
      </c>
      <c r="M7">
        <v>5.4</v>
      </c>
      <c r="N7">
        <f>N6+9</f>
        <v>101</v>
      </c>
    </row>
    <row r="8" spans="1:14" x14ac:dyDescent="0.25">
      <c r="A8" s="1">
        <v>43875</v>
      </c>
      <c r="B8" t="s">
        <v>5</v>
      </c>
      <c r="C8" t="s">
        <v>22</v>
      </c>
      <c r="D8" t="s">
        <v>22</v>
      </c>
      <c r="E8" t="s">
        <v>22</v>
      </c>
      <c r="I8" s="4">
        <v>43880.270833333336</v>
      </c>
      <c r="J8">
        <v>0.81299999999999994</v>
      </c>
      <c r="K8">
        <v>6.3</v>
      </c>
      <c r="L8">
        <v>0.17499999999999999</v>
      </c>
      <c r="M8">
        <v>6.2</v>
      </c>
      <c r="N8">
        <f>N7+8+7</f>
        <v>116</v>
      </c>
    </row>
    <row r="9" spans="1:14" x14ac:dyDescent="0.25">
      <c r="A9" s="4">
        <v>43878.270833333336</v>
      </c>
      <c r="B9" t="s">
        <v>2</v>
      </c>
      <c r="C9">
        <v>1.8420000000000001</v>
      </c>
      <c r="D9">
        <v>11.8</v>
      </c>
      <c r="E9">
        <v>6.5</v>
      </c>
      <c r="I9" s="4">
        <v>43880.583333333336</v>
      </c>
      <c r="J9">
        <v>0.85299999999999998</v>
      </c>
      <c r="K9">
        <v>6.2</v>
      </c>
      <c r="L9">
        <v>0.36499999999999999</v>
      </c>
      <c r="M9">
        <v>6.8</v>
      </c>
      <c r="N9">
        <f>N8+7</f>
        <v>123</v>
      </c>
    </row>
    <row r="10" spans="1:14" x14ac:dyDescent="0.25">
      <c r="A10" s="4">
        <v>43878.270833333336</v>
      </c>
      <c r="B10" t="s">
        <v>3</v>
      </c>
      <c r="C10">
        <v>0.77800000000000002</v>
      </c>
      <c r="D10">
        <v>11.6</v>
      </c>
      <c r="E10">
        <v>5.9</v>
      </c>
      <c r="I10" s="4">
        <v>43881.270833333336</v>
      </c>
      <c r="J10">
        <v>0.496</v>
      </c>
      <c r="K10">
        <v>6.8</v>
      </c>
      <c r="L10">
        <v>0.22</v>
      </c>
      <c r="M10">
        <v>6.8</v>
      </c>
      <c r="N10">
        <f>N9+8+7</f>
        <v>138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="85" zoomScaleNormal="85" workbookViewId="0">
      <selection activeCell="D3" sqref="D3:D10"/>
    </sheetView>
  </sheetViews>
  <sheetFormatPr defaultRowHeight="15" x14ac:dyDescent="0.25"/>
  <cols>
    <col min="1" max="1" width="16.140625" bestFit="1" customWidth="1"/>
    <col min="3" max="3" width="11.42578125" bestFit="1" customWidth="1"/>
    <col min="4" max="4" width="12.5703125" bestFit="1" customWidth="1"/>
    <col min="6" max="6" width="11.42578125" bestFit="1" customWidth="1"/>
    <col min="7" max="7" width="12.5703125" bestFit="1" customWidth="1"/>
    <col min="9" max="9" width="11.42578125" bestFit="1" customWidth="1"/>
    <col min="10" max="10" width="12.5703125" bestFit="1" customWidth="1"/>
    <col min="12" max="12" width="11.42578125" bestFit="1" customWidth="1"/>
    <col min="13" max="13" width="12.5703125" bestFit="1" customWidth="1"/>
    <col min="15" max="15" width="11.42578125" bestFit="1" customWidth="1"/>
    <col min="16" max="16" width="12.5703125" bestFit="1" customWidth="1"/>
    <col min="18" max="18" width="11.42578125" bestFit="1" customWidth="1"/>
    <col min="19" max="19" width="12.5703125" bestFit="1" customWidth="1"/>
  </cols>
  <sheetData>
    <row r="1" spans="1:20" x14ac:dyDescent="0.25">
      <c r="A1" s="10" t="s">
        <v>27</v>
      </c>
      <c r="B1" s="15" t="s">
        <v>0</v>
      </c>
      <c r="C1" s="15"/>
      <c r="D1" s="15"/>
      <c r="E1" s="15" t="s">
        <v>1</v>
      </c>
      <c r="F1" s="15"/>
      <c r="G1" s="15"/>
      <c r="H1" s="15" t="s">
        <v>2</v>
      </c>
      <c r="I1" s="15"/>
      <c r="J1" s="15"/>
      <c r="K1" s="15" t="s">
        <v>3</v>
      </c>
      <c r="L1" s="15"/>
      <c r="M1" s="15"/>
      <c r="N1" s="15" t="s">
        <v>4</v>
      </c>
      <c r="O1" s="15"/>
      <c r="P1" s="15"/>
      <c r="Q1" s="15" t="s">
        <v>5</v>
      </c>
      <c r="R1" s="15"/>
      <c r="S1" s="15"/>
      <c r="T1" t="s">
        <v>15</v>
      </c>
    </row>
    <row r="2" spans="1:20" x14ac:dyDescent="0.2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  <c r="K2" s="11" t="s">
        <v>21</v>
      </c>
      <c r="L2" s="11" t="s">
        <v>29</v>
      </c>
      <c r="M2" s="11" t="s">
        <v>28</v>
      </c>
      <c r="N2" s="11" t="s">
        <v>21</v>
      </c>
      <c r="O2" s="11" t="s">
        <v>29</v>
      </c>
      <c r="P2" s="11" t="s">
        <v>28</v>
      </c>
      <c r="Q2" s="11" t="s">
        <v>21</v>
      </c>
      <c r="R2" s="11" t="s">
        <v>29</v>
      </c>
      <c r="S2" s="11" t="s">
        <v>28</v>
      </c>
    </row>
    <row r="3" spans="1:20" x14ac:dyDescent="0.25">
      <c r="A3" s="7">
        <v>43885.291666666664</v>
      </c>
      <c r="B3" s="5">
        <v>5.2</v>
      </c>
      <c r="C3" s="8">
        <v>0</v>
      </c>
      <c r="D3" s="9">
        <v>5</v>
      </c>
      <c r="E3" s="5">
        <v>5.9</v>
      </c>
      <c r="F3" s="8">
        <v>0</v>
      </c>
      <c r="G3" s="9">
        <v>10</v>
      </c>
      <c r="H3" s="5">
        <v>5.2</v>
      </c>
      <c r="I3" s="8">
        <v>0</v>
      </c>
      <c r="J3" s="9">
        <v>5</v>
      </c>
      <c r="K3" s="5">
        <v>5.9</v>
      </c>
      <c r="L3" s="8">
        <v>0</v>
      </c>
      <c r="M3" s="9">
        <v>10</v>
      </c>
      <c r="N3" s="5">
        <v>5.2</v>
      </c>
      <c r="O3" s="8">
        <v>0</v>
      </c>
      <c r="P3" s="9">
        <v>5</v>
      </c>
      <c r="Q3" s="5">
        <v>5.9</v>
      </c>
      <c r="R3" s="8">
        <v>0</v>
      </c>
      <c r="S3" s="9">
        <v>10</v>
      </c>
      <c r="T3" s="12">
        <v>0</v>
      </c>
    </row>
    <row r="4" spans="1:20" x14ac:dyDescent="0.25">
      <c r="A4" s="7">
        <v>43885.5</v>
      </c>
      <c r="B4" s="5"/>
      <c r="C4" s="8">
        <v>2.5000000000000001E-2</v>
      </c>
      <c r="D4" s="9"/>
      <c r="E4" s="5"/>
      <c r="F4" s="8">
        <v>7.2999999999999995E-2</v>
      </c>
      <c r="G4" s="9"/>
      <c r="H4" s="5"/>
      <c r="I4" s="8">
        <v>2.3E-2</v>
      </c>
      <c r="J4" s="9"/>
      <c r="K4" s="5"/>
      <c r="L4" s="8">
        <v>5.8000000000000003E-2</v>
      </c>
      <c r="M4" s="9"/>
      <c r="N4" s="5"/>
      <c r="O4" s="8">
        <v>0</v>
      </c>
      <c r="P4" s="9"/>
      <c r="Q4" s="5"/>
      <c r="R4" s="8">
        <v>3.6999999999999998E-2</v>
      </c>
      <c r="S4" s="9"/>
      <c r="T4">
        <v>5</v>
      </c>
    </row>
    <row r="5" spans="1:20" x14ac:dyDescent="0.25">
      <c r="A5" s="7">
        <v>43886.270833333336</v>
      </c>
      <c r="B5" s="5">
        <v>7.2</v>
      </c>
      <c r="C5" s="8">
        <v>1.3919999999999999</v>
      </c>
      <c r="D5" s="9">
        <f>(3.8*2)*(180.156)*(1/1000)</f>
        <v>1.3691856</v>
      </c>
      <c r="E5" s="5">
        <v>7.1</v>
      </c>
      <c r="F5" s="12">
        <v>1.7589999999999999</v>
      </c>
      <c r="G5" s="9">
        <f>(13.2*2)*(180.156)*(1/1000)</f>
        <v>4.7561184000000001</v>
      </c>
      <c r="H5" s="5">
        <v>7.3</v>
      </c>
      <c r="I5" s="12">
        <v>1.0940000000000001</v>
      </c>
      <c r="J5" s="9">
        <f>(2.5)*(180.156)*(1/1000)</f>
        <v>0.45039000000000001</v>
      </c>
      <c r="K5" s="5">
        <v>7.5</v>
      </c>
      <c r="L5" s="12">
        <v>7.4999999999999997E-2</v>
      </c>
      <c r="M5" s="9">
        <f>(19.2*2)*(180.156)*(1/1000)</f>
        <v>6.9179903999999999</v>
      </c>
      <c r="N5" s="5">
        <v>7</v>
      </c>
      <c r="O5" s="12">
        <v>1.5640000000000001</v>
      </c>
      <c r="P5" s="9">
        <v>0</v>
      </c>
      <c r="Q5" s="5">
        <v>7.5</v>
      </c>
      <c r="R5" s="12">
        <v>0.112</v>
      </c>
      <c r="S5" s="9">
        <f>(22.1*2)*(180.156)*(1/1000)</f>
        <v>7.9628952000000011</v>
      </c>
      <c r="T5">
        <f>T4+12+7</f>
        <v>24</v>
      </c>
    </row>
    <row r="6" spans="1:20" x14ac:dyDescent="0.25">
      <c r="A6" s="7">
        <v>43886.677083333336</v>
      </c>
      <c r="B6" s="5">
        <v>7.3</v>
      </c>
      <c r="C6" s="12">
        <v>1.7283999999999999</v>
      </c>
      <c r="D6" s="9"/>
      <c r="E6" s="5">
        <v>7.2</v>
      </c>
      <c r="F6" s="12">
        <v>1.7468999999999999</v>
      </c>
      <c r="G6" s="9"/>
      <c r="H6" s="5">
        <v>7.1</v>
      </c>
      <c r="I6" s="12">
        <v>1.2781</v>
      </c>
      <c r="J6" s="9"/>
      <c r="K6" s="5">
        <v>7.4</v>
      </c>
      <c r="L6" s="12">
        <v>1.0290999999999999</v>
      </c>
      <c r="M6" s="9"/>
      <c r="N6" s="5">
        <v>7.2</v>
      </c>
      <c r="O6" s="12">
        <v>4.7199999999999999E-2</v>
      </c>
      <c r="P6" s="9"/>
      <c r="Q6" s="5">
        <v>7.5</v>
      </c>
      <c r="R6" s="12">
        <v>0.19600000000000001</v>
      </c>
      <c r="S6" s="9"/>
      <c r="T6">
        <f>T5+5+4</f>
        <v>33</v>
      </c>
    </row>
    <row r="7" spans="1:20" x14ac:dyDescent="0.25">
      <c r="A7" s="7">
        <v>43887.270833333336</v>
      </c>
      <c r="B7" s="5">
        <v>7.2</v>
      </c>
      <c r="C7" s="12">
        <v>1.9795</v>
      </c>
      <c r="D7" s="9">
        <f>(2.4)*(180.156)*(1/1000)</f>
        <v>0.43237439999999999</v>
      </c>
      <c r="E7" s="5">
        <v>5.6</v>
      </c>
      <c r="F7" s="12">
        <v>1.9966999999999999</v>
      </c>
      <c r="G7" s="9">
        <f>(23.3)*(180.156)*(1/1000)</f>
        <v>4.1976348000000003</v>
      </c>
      <c r="H7" s="5">
        <v>7.4</v>
      </c>
      <c r="I7" s="12">
        <v>0.57999999999999996</v>
      </c>
      <c r="J7" s="9">
        <f>(0)*(180.156)*(1/1000)</f>
        <v>0</v>
      </c>
      <c r="K7" s="5">
        <v>7.2</v>
      </c>
      <c r="L7" s="12">
        <v>0.97970000000000002</v>
      </c>
      <c r="M7" s="9">
        <f>(28.3)*(180.156)*(1/1000)</f>
        <v>5.0984148000000005</v>
      </c>
      <c r="N7" s="5">
        <v>7.7</v>
      </c>
      <c r="O7" s="12">
        <v>0.77</v>
      </c>
      <c r="P7" s="9">
        <f>(0)*(180.156)*(1/1000)</f>
        <v>0</v>
      </c>
      <c r="Q7" s="5">
        <v>7.3</v>
      </c>
      <c r="R7" s="12">
        <v>0.1953</v>
      </c>
      <c r="S7" s="9">
        <f>(18.3*2)*(180.156)*(1/1000)</f>
        <v>6.5937096000000004</v>
      </c>
      <c r="T7">
        <f>T6+8+7</f>
        <v>48</v>
      </c>
    </row>
    <row r="8" spans="1:20" x14ac:dyDescent="0.25">
      <c r="A8" s="7">
        <v>43887.506944444445</v>
      </c>
      <c r="B8" s="5">
        <v>6.9</v>
      </c>
      <c r="C8" s="12">
        <v>2.0118</v>
      </c>
      <c r="D8" s="9"/>
      <c r="E8" s="5">
        <v>5.6</v>
      </c>
      <c r="F8" s="12">
        <v>2.0975000000000001</v>
      </c>
      <c r="G8" s="9"/>
      <c r="H8" s="5">
        <v>7.4</v>
      </c>
      <c r="I8" s="12">
        <v>1.0019</v>
      </c>
      <c r="J8" s="9"/>
      <c r="K8" s="5">
        <v>6.3</v>
      </c>
      <c r="L8" s="12">
        <v>1.1267</v>
      </c>
      <c r="M8" s="9"/>
      <c r="N8" s="5">
        <v>7.8</v>
      </c>
      <c r="O8" s="12">
        <v>0.89090000000000003</v>
      </c>
      <c r="P8" s="9"/>
      <c r="Q8" s="5">
        <v>7.1</v>
      </c>
      <c r="R8" s="12">
        <v>0.24940000000000001</v>
      </c>
      <c r="S8" s="9"/>
      <c r="T8">
        <f>T7+6</f>
        <v>54</v>
      </c>
    </row>
    <row r="9" spans="1:20" x14ac:dyDescent="0.25">
      <c r="A9" s="7">
        <v>43888.270833333336</v>
      </c>
      <c r="B9" s="5">
        <v>7.2</v>
      </c>
      <c r="C9" s="12">
        <v>2.464</v>
      </c>
      <c r="D9" s="9">
        <v>0</v>
      </c>
      <c r="E9" s="5">
        <v>6.5</v>
      </c>
      <c r="F9" s="8"/>
      <c r="G9" s="9">
        <v>0</v>
      </c>
      <c r="H9" s="5">
        <v>7.6</v>
      </c>
      <c r="I9" s="12">
        <v>0.39600000000000002</v>
      </c>
      <c r="J9" s="9">
        <v>0</v>
      </c>
      <c r="K9" s="5">
        <v>7.5</v>
      </c>
      <c r="L9" s="12">
        <v>1.4670000000000001</v>
      </c>
      <c r="M9" s="9">
        <v>0</v>
      </c>
      <c r="N9" s="5">
        <v>7.7</v>
      </c>
      <c r="O9" s="12">
        <v>0.49299999999999999</v>
      </c>
      <c r="P9" s="9">
        <v>0</v>
      </c>
      <c r="Q9" s="5">
        <v>7.2</v>
      </c>
      <c r="R9" s="12">
        <v>0.92500000000000004</v>
      </c>
      <c r="S9" s="9">
        <f>(3.2)*(180.156)*(1/1000)</f>
        <v>0.5764992000000001</v>
      </c>
      <c r="T9">
        <f>T8+12+6</f>
        <v>72</v>
      </c>
    </row>
    <row r="10" spans="1:20" x14ac:dyDescent="0.25">
      <c r="A10" s="7">
        <v>43889.270833333336</v>
      </c>
      <c r="B10" s="5">
        <v>7.9</v>
      </c>
      <c r="C10" s="12">
        <v>2.16</v>
      </c>
      <c r="D10" s="9">
        <v>0</v>
      </c>
      <c r="E10" s="5">
        <v>7.2</v>
      </c>
      <c r="F10" s="12">
        <v>2.5</v>
      </c>
      <c r="G10" s="9">
        <v>0</v>
      </c>
      <c r="H10" s="5">
        <v>8</v>
      </c>
      <c r="I10" s="12">
        <v>7.8E-2</v>
      </c>
      <c r="J10" s="9">
        <v>0</v>
      </c>
      <c r="K10" s="5">
        <v>7.9</v>
      </c>
      <c r="L10" s="12">
        <v>0.44400000000000001</v>
      </c>
      <c r="M10" s="9">
        <v>0</v>
      </c>
      <c r="N10" s="5">
        <v>7.9</v>
      </c>
      <c r="O10" s="12">
        <v>-1.9E-2</v>
      </c>
      <c r="P10" s="9">
        <v>0</v>
      </c>
      <c r="Q10" s="5">
        <v>6.9</v>
      </c>
      <c r="R10" s="12">
        <v>0.434</v>
      </c>
      <c r="S10" s="9">
        <v>0</v>
      </c>
      <c r="T10">
        <f>T9+24</f>
        <v>96</v>
      </c>
    </row>
    <row r="11" spans="1:20" x14ac:dyDescent="0.25">
      <c r="A11" s="6"/>
      <c r="B11" s="5"/>
      <c r="C11" s="8"/>
      <c r="D11" s="9"/>
      <c r="E11" s="5"/>
      <c r="F11" s="8"/>
      <c r="G11" s="9"/>
      <c r="H11" s="5"/>
      <c r="I11" s="8"/>
      <c r="J11" s="9"/>
      <c r="K11" s="5"/>
      <c r="L11" s="8"/>
      <c r="M11" s="9"/>
      <c r="N11" s="5"/>
      <c r="O11" s="8"/>
      <c r="P11" s="9"/>
      <c r="Q11" s="5"/>
      <c r="R11" s="8"/>
      <c r="S11" s="9"/>
    </row>
    <row r="12" spans="1:20" x14ac:dyDescent="0.25">
      <c r="A12" s="6"/>
      <c r="B12" s="5"/>
      <c r="C12" s="8"/>
      <c r="D12" s="9"/>
      <c r="E12" s="5"/>
      <c r="F12" s="8"/>
      <c r="G12" s="9"/>
      <c r="H12" s="5"/>
      <c r="I12" s="8"/>
      <c r="J12" s="9"/>
      <c r="K12" s="5"/>
      <c r="L12" s="8"/>
      <c r="M12" s="9"/>
      <c r="N12" s="5"/>
      <c r="O12" s="8"/>
      <c r="P12" s="9"/>
      <c r="Q12" s="5"/>
      <c r="R12" s="8"/>
      <c r="S12" s="9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11" sqref="G11"/>
    </sheetView>
  </sheetViews>
  <sheetFormatPr defaultRowHeight="15" x14ac:dyDescent="0.25"/>
  <cols>
    <col min="1" max="1" width="11" customWidth="1"/>
    <col min="2" max="2" width="17.7109375" bestFit="1" customWidth="1"/>
    <col min="3" max="3" width="11" customWidth="1"/>
    <col min="5" max="5" width="20.140625" bestFit="1" customWidth="1"/>
    <col min="6" max="6" width="14.7109375" bestFit="1" customWidth="1"/>
    <col min="7" max="7" width="18" customWidth="1"/>
    <col min="8" max="8" width="12" bestFit="1" customWidth="1"/>
    <col min="10" max="10" width="15.85546875" bestFit="1" customWidth="1"/>
  </cols>
  <sheetData>
    <row r="1" spans="1:13" x14ac:dyDescent="0.25">
      <c r="A1" t="s">
        <v>15</v>
      </c>
      <c r="B1" t="s">
        <v>35</v>
      </c>
      <c r="C1" t="s">
        <v>21</v>
      </c>
      <c r="D1" t="s">
        <v>36</v>
      </c>
      <c r="E1" t="s">
        <v>37</v>
      </c>
      <c r="F1" t="s">
        <v>38</v>
      </c>
      <c r="G1" t="s">
        <v>39</v>
      </c>
      <c r="H1" t="s">
        <v>20</v>
      </c>
      <c r="J1" s="8"/>
      <c r="K1" s="8"/>
      <c r="L1" s="8"/>
      <c r="M1" s="8"/>
    </row>
    <row r="2" spans="1:13" x14ac:dyDescent="0.25">
      <c r="A2">
        <v>0</v>
      </c>
      <c r="B2" s="8">
        <v>0</v>
      </c>
      <c r="C2" s="5">
        <v>5.2</v>
      </c>
      <c r="D2">
        <v>0</v>
      </c>
      <c r="E2">
        <f t="shared" ref="E2:E9" si="0">4.9*10^7*B2</f>
        <v>0</v>
      </c>
      <c r="F2">
        <f t="shared" ref="F2:F9" si="1">2.464*B2+0.023</f>
        <v>2.3E-2</v>
      </c>
      <c r="G2">
        <f>(1000*Table2[[#This Row],[Biomass(g/L)]])/24.6</f>
        <v>0.93495934959349591</v>
      </c>
      <c r="H2" s="9">
        <f>(5/30)*1000</f>
        <v>166.66666666666666</v>
      </c>
      <c r="J2" s="13"/>
      <c r="K2" s="8"/>
      <c r="L2" s="8"/>
      <c r="M2" s="8"/>
    </row>
    <row r="3" spans="1:13" x14ac:dyDescent="0.25">
      <c r="A3">
        <v>5</v>
      </c>
      <c r="B3" s="8">
        <v>2.5000000000000001E-2</v>
      </c>
      <c r="C3" s="5"/>
      <c r="D3">
        <v>0</v>
      </c>
      <c r="E3">
        <f>4.9*10^7*B3</f>
        <v>1225000</v>
      </c>
      <c r="F3">
        <f>2.464*B3+0.023</f>
        <v>8.4600000000000009E-2</v>
      </c>
      <c r="G3">
        <f>(1000*Table2[[#This Row],[Biomass(g/L)]])/24.6</f>
        <v>3.4390243902439024</v>
      </c>
      <c r="H3" s="9"/>
      <c r="J3" s="13"/>
      <c r="K3" s="8"/>
      <c r="L3" s="8"/>
      <c r="M3" s="8"/>
    </row>
    <row r="4" spans="1:13" x14ac:dyDescent="0.25">
      <c r="A4">
        <v>23.5</v>
      </c>
      <c r="B4" s="8">
        <v>1.3919999999999999</v>
      </c>
      <c r="C4" s="5">
        <v>7.2</v>
      </c>
      <c r="D4">
        <v>0</v>
      </c>
      <c r="E4">
        <f t="shared" si="0"/>
        <v>68208000</v>
      </c>
      <c r="F4">
        <f t="shared" si="1"/>
        <v>3.4528879999999997</v>
      </c>
      <c r="G4">
        <f>(1000*Table2[[#This Row],[Biomass(g/L)]])/24.6</f>
        <v>140.36130081300811</v>
      </c>
      <c r="H4" s="9">
        <f>(((3.8*2)*(180.156)*(1/1000))/30)*1000</f>
        <v>45.639520000000005</v>
      </c>
      <c r="J4" s="13"/>
      <c r="K4" s="8"/>
      <c r="L4" s="8"/>
      <c r="M4" s="8"/>
    </row>
    <row r="5" spans="1:13" x14ac:dyDescent="0.25">
      <c r="A5">
        <v>33.5</v>
      </c>
      <c r="B5" s="12">
        <v>1.7283999999999999</v>
      </c>
      <c r="C5" s="5">
        <v>7.3</v>
      </c>
      <c r="D5">
        <v>0</v>
      </c>
      <c r="E5">
        <f t="shared" si="0"/>
        <v>84691600</v>
      </c>
      <c r="F5">
        <f t="shared" si="1"/>
        <v>4.2817775999999999</v>
      </c>
      <c r="G5">
        <f>(1000*Table2[[#This Row],[Biomass(g/L)]])/24.6</f>
        <v>174.05599999999995</v>
      </c>
      <c r="H5" s="9"/>
      <c r="J5" s="13"/>
      <c r="K5" s="8"/>
      <c r="L5" s="12"/>
      <c r="M5" s="8"/>
    </row>
    <row r="6" spans="1:13" x14ac:dyDescent="0.25">
      <c r="A6">
        <v>47.5</v>
      </c>
      <c r="B6" s="12">
        <v>1.9795</v>
      </c>
      <c r="C6" s="5">
        <v>7.2</v>
      </c>
      <c r="D6">
        <v>0</v>
      </c>
      <c r="E6">
        <f t="shared" si="0"/>
        <v>96995500</v>
      </c>
      <c r="F6">
        <f t="shared" si="1"/>
        <v>4.9004879999999993</v>
      </c>
      <c r="G6">
        <f>(1000*Table2[[#This Row],[Biomass(g/L)]])/24.6</f>
        <v>199.20682926829264</v>
      </c>
      <c r="H6" s="9">
        <f>(((2.4)*(180.156)*(1/1000))/30)*1000</f>
        <v>14.41248</v>
      </c>
      <c r="J6" s="13"/>
      <c r="K6" s="8"/>
      <c r="L6" s="12"/>
      <c r="M6" s="8"/>
    </row>
    <row r="7" spans="1:13" x14ac:dyDescent="0.25">
      <c r="A7">
        <v>52</v>
      </c>
      <c r="B7" s="12">
        <v>2.0118</v>
      </c>
      <c r="C7" s="5">
        <v>6.9</v>
      </c>
      <c r="D7">
        <v>0</v>
      </c>
      <c r="E7">
        <f>4.9*10^7*B7</f>
        <v>98578200</v>
      </c>
      <c r="F7">
        <f t="shared" si="1"/>
        <v>4.9800751999999999</v>
      </c>
      <c r="G7">
        <f>(1000*Table2[[#This Row],[Biomass(g/L)]])/24.6</f>
        <v>202.44208130081302</v>
      </c>
      <c r="H7" s="9"/>
      <c r="J7" s="13"/>
      <c r="K7" s="8"/>
      <c r="L7" s="12"/>
      <c r="M7" s="8"/>
    </row>
    <row r="8" spans="1:13" x14ac:dyDescent="0.25">
      <c r="A8">
        <v>71.5</v>
      </c>
      <c r="B8" s="12">
        <v>2.464</v>
      </c>
      <c r="C8" s="5">
        <v>7.2</v>
      </c>
      <c r="D8">
        <v>0</v>
      </c>
      <c r="E8">
        <f t="shared" si="0"/>
        <v>120736000</v>
      </c>
      <c r="F8">
        <f t="shared" si="1"/>
        <v>6.0942959999999999</v>
      </c>
      <c r="G8">
        <f>(1000*Table2[[#This Row],[Biomass(g/L)]])/24.6</f>
        <v>247.73560975609755</v>
      </c>
      <c r="H8" s="9">
        <v>0</v>
      </c>
      <c r="J8" s="13"/>
      <c r="K8" s="8"/>
      <c r="L8" s="12"/>
      <c r="M8" s="8"/>
    </row>
    <row r="9" spans="1:13" x14ac:dyDescent="0.25">
      <c r="A9">
        <v>95.5</v>
      </c>
      <c r="B9" s="12">
        <v>2.16</v>
      </c>
      <c r="C9" s="5">
        <v>7.9</v>
      </c>
      <c r="D9">
        <v>0</v>
      </c>
      <c r="E9">
        <f t="shared" si="0"/>
        <v>105840000</v>
      </c>
      <c r="F9">
        <f t="shared" si="1"/>
        <v>5.3452399999999995</v>
      </c>
      <c r="G9">
        <f>(1000*Table2[[#This Row],[Biomass(g/L)]])/24.6</f>
        <v>217.28617886178858</v>
      </c>
      <c r="H9" s="9">
        <v>0</v>
      </c>
      <c r="J9" s="13"/>
      <c r="K9" s="8"/>
      <c r="L9" s="12"/>
      <c r="M9" s="8"/>
    </row>
    <row r="10" spans="1:13" x14ac:dyDescent="0.25">
      <c r="J10" s="8"/>
      <c r="K10" s="8"/>
      <c r="L10" s="8"/>
      <c r="M10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5" zoomScaleNormal="85" workbookViewId="0">
      <selection activeCell="M5" sqref="M5"/>
    </sheetView>
  </sheetViews>
  <sheetFormatPr defaultRowHeight="15" x14ac:dyDescent="0.25"/>
  <cols>
    <col min="1" max="1" width="14.85546875" bestFit="1" customWidth="1"/>
    <col min="4" max="4" width="12.85546875" customWidth="1"/>
    <col min="7" max="7" width="13.28515625" customWidth="1"/>
    <col min="10" max="10" width="12.5703125" customWidth="1"/>
  </cols>
  <sheetData>
    <row r="1" spans="1:11" x14ac:dyDescent="0.25">
      <c r="A1" s="10" t="s">
        <v>27</v>
      </c>
      <c r="B1" s="15" t="s">
        <v>0</v>
      </c>
      <c r="C1" s="15"/>
      <c r="D1" s="15"/>
      <c r="E1" s="15" t="s">
        <v>1</v>
      </c>
      <c r="F1" s="15"/>
      <c r="G1" s="15"/>
      <c r="H1" s="15" t="s">
        <v>2</v>
      </c>
      <c r="I1" s="15"/>
      <c r="J1" s="15"/>
      <c r="K1" t="s">
        <v>15</v>
      </c>
    </row>
    <row r="2" spans="1:11" x14ac:dyDescent="0.2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</row>
    <row r="3" spans="1:11" x14ac:dyDescent="0.25">
      <c r="A3" s="7">
        <v>43889.5</v>
      </c>
      <c r="B3" s="5">
        <v>5.4</v>
      </c>
      <c r="C3" s="8">
        <v>0</v>
      </c>
      <c r="D3" s="9">
        <v>10</v>
      </c>
      <c r="E3" s="5">
        <v>5.0999999999999996</v>
      </c>
      <c r="F3" s="12">
        <v>0</v>
      </c>
      <c r="G3" s="9">
        <v>5</v>
      </c>
      <c r="H3" s="5">
        <v>5.4</v>
      </c>
      <c r="I3" s="12">
        <v>0</v>
      </c>
      <c r="J3" s="9">
        <v>10</v>
      </c>
      <c r="K3" s="12">
        <v>0</v>
      </c>
    </row>
    <row r="4" spans="1:11" x14ac:dyDescent="0.25">
      <c r="A4" s="7">
        <v>43892.270833333336</v>
      </c>
      <c r="B4" s="5">
        <v>4</v>
      </c>
      <c r="C4" s="8">
        <v>0</v>
      </c>
      <c r="D4" s="9">
        <v>10.5</v>
      </c>
      <c r="E4" s="5">
        <v>4</v>
      </c>
      <c r="F4" s="12">
        <v>0</v>
      </c>
      <c r="G4" s="9">
        <v>4.6399999999999997</v>
      </c>
      <c r="H4" s="5">
        <v>4</v>
      </c>
      <c r="I4" s="12">
        <v>0</v>
      </c>
      <c r="J4" s="9">
        <v>11.16</v>
      </c>
      <c r="K4">
        <f>K3+12+7</f>
        <v>19</v>
      </c>
    </row>
    <row r="5" spans="1:11" x14ac:dyDescent="0.25">
      <c r="A5" s="7">
        <v>43893.270833333336</v>
      </c>
      <c r="B5" s="5">
        <v>3.9</v>
      </c>
      <c r="C5" s="8">
        <v>0</v>
      </c>
      <c r="D5" s="9">
        <f>((15.7)*(4)*(180.156))/1000</f>
        <v>11.3137968</v>
      </c>
      <c r="E5" s="5">
        <v>3.9</v>
      </c>
      <c r="F5" s="12">
        <v>0</v>
      </c>
      <c r="G5" s="9">
        <f>21.1*180.156/1000</f>
        <v>3.8012916000000003</v>
      </c>
      <c r="H5" s="5">
        <v>4</v>
      </c>
      <c r="I5" s="12">
        <v>0</v>
      </c>
      <c r="J5" s="9">
        <f>29.8*2*180.156/1000</f>
        <v>10.7372976</v>
      </c>
      <c r="K5">
        <f>K4+24</f>
        <v>43</v>
      </c>
    </row>
    <row r="6" spans="1:11" x14ac:dyDescent="0.25">
      <c r="A6" s="7">
        <v>43924.270833333336</v>
      </c>
      <c r="B6" s="5">
        <v>3.9</v>
      </c>
      <c r="C6" s="12">
        <v>0</v>
      </c>
      <c r="D6" s="9">
        <f>24.5*2*180.156/1000</f>
        <v>8.8276439999999994</v>
      </c>
      <c r="E6" s="5">
        <v>3.7</v>
      </c>
      <c r="F6" s="12">
        <v>0</v>
      </c>
      <c r="G6" s="9">
        <f>18*180.156/1000</f>
        <v>3.2428080000000001</v>
      </c>
      <c r="H6" s="5">
        <v>3.9</v>
      </c>
      <c r="I6" s="12">
        <v>0</v>
      </c>
      <c r="J6" s="9">
        <f>22.3*2*180.156/1000</f>
        <v>8.0349576000000003</v>
      </c>
      <c r="K6">
        <f>K5+24</f>
        <v>67</v>
      </c>
    </row>
    <row r="7" spans="1:11" x14ac:dyDescent="0.25">
      <c r="A7" s="7">
        <v>43954.270833333336</v>
      </c>
      <c r="B7" s="5">
        <v>3.9</v>
      </c>
      <c r="C7" s="12">
        <v>0</v>
      </c>
      <c r="D7" s="9">
        <f>12.8*2*(180.156)/1000</f>
        <v>4.6119936000000008</v>
      </c>
      <c r="E7" s="5">
        <v>3.5</v>
      </c>
      <c r="F7" s="12">
        <v>0</v>
      </c>
      <c r="G7" s="9">
        <f>9.8*180.156/1000</f>
        <v>1.7655288000000002</v>
      </c>
      <c r="H7" s="5">
        <v>3.4</v>
      </c>
      <c r="I7" s="12">
        <v>0</v>
      </c>
      <c r="J7" s="9">
        <f>25.6*2*180.156/1000</f>
        <v>9.2239872000000016</v>
      </c>
      <c r="K7">
        <f>K6+24</f>
        <v>91</v>
      </c>
    </row>
    <row r="8" spans="1:11" x14ac:dyDescent="0.25">
      <c r="A8" s="7"/>
      <c r="B8" s="5"/>
      <c r="C8" s="12"/>
      <c r="D8" s="9"/>
      <c r="E8" s="5"/>
      <c r="F8" s="12"/>
      <c r="G8" s="9"/>
      <c r="H8" s="5"/>
      <c r="I8" s="12"/>
      <c r="J8" s="9"/>
    </row>
    <row r="9" spans="1:11" x14ac:dyDescent="0.25">
      <c r="A9" s="7"/>
      <c r="B9" s="5"/>
      <c r="C9" s="12"/>
      <c r="D9" s="9"/>
      <c r="E9" s="5"/>
      <c r="F9" s="8"/>
      <c r="G9" s="9"/>
      <c r="H9" s="5"/>
      <c r="I9" s="12"/>
      <c r="J9" s="9"/>
    </row>
    <row r="10" spans="1:11" x14ac:dyDescent="0.25">
      <c r="A10" s="7"/>
      <c r="B10" s="5"/>
      <c r="C10" s="12"/>
      <c r="D10" s="9"/>
      <c r="E10" s="5"/>
      <c r="F10" s="12"/>
      <c r="G10" s="9"/>
      <c r="H10" s="5"/>
      <c r="I10" s="12"/>
      <c r="J10" s="9"/>
    </row>
    <row r="11" spans="1:11" x14ac:dyDescent="0.25">
      <c r="A11" s="6"/>
      <c r="B11" s="5"/>
      <c r="C11" s="8"/>
      <c r="D11" s="9"/>
      <c r="E11" s="5"/>
      <c r="F11" s="8"/>
      <c r="G11" s="9"/>
      <c r="H11" s="5"/>
      <c r="I11" s="8"/>
      <c r="J11" s="9"/>
    </row>
    <row r="12" spans="1:11" x14ac:dyDescent="0.25">
      <c r="A12" s="6"/>
      <c r="B12" s="5"/>
      <c r="C12" s="8"/>
      <c r="D12" s="9"/>
      <c r="E12" s="5"/>
      <c r="F12" s="8"/>
      <c r="G12" s="9"/>
      <c r="H12" s="5"/>
      <c r="I12" s="8"/>
      <c r="J12" s="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5" sqref="C5"/>
    </sheetView>
  </sheetViews>
  <sheetFormatPr defaultRowHeight="15" x14ac:dyDescent="0.25"/>
  <cols>
    <col min="1" max="1" width="7.7109375" bestFit="1" customWidth="1"/>
    <col min="3" max="3" width="5.7109375" bestFit="1" customWidth="1"/>
    <col min="4" max="4" width="11.85546875" bestFit="1" customWidth="1"/>
    <col min="5" max="5" width="20.140625" bestFit="1" customWidth="1"/>
    <col min="6" max="6" width="14.7109375" bestFit="1" customWidth="1"/>
    <col min="7" max="7" width="10.5703125" bestFit="1" customWidth="1"/>
  </cols>
  <sheetData>
    <row r="1" spans="1:7" x14ac:dyDescent="0.25">
      <c r="A1" t="s">
        <v>15</v>
      </c>
      <c r="B1" t="s">
        <v>35</v>
      </c>
      <c r="C1" t="s">
        <v>21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>
        <v>0</v>
      </c>
      <c r="B2" s="8">
        <v>0</v>
      </c>
      <c r="C2" s="5">
        <v>5.2</v>
      </c>
      <c r="D2">
        <v>0</v>
      </c>
      <c r="E2">
        <f t="shared" ref="E2:E9" si="0">4.9*10^7*B2</f>
        <v>0</v>
      </c>
      <c r="F2">
        <f t="shared" ref="F2:F9" si="1">2.464*B2+0.023</f>
        <v>2.3E-2</v>
      </c>
      <c r="G2">
        <f t="shared" ref="G2:G9" si="2">2.464*B2+0.023</f>
        <v>2.3E-2</v>
      </c>
    </row>
    <row r="3" spans="1:7" x14ac:dyDescent="0.25">
      <c r="A3">
        <v>5</v>
      </c>
      <c r="B3" s="8">
        <v>2.5000000000000001E-2</v>
      </c>
      <c r="C3" s="5"/>
      <c r="D3">
        <v>0</v>
      </c>
      <c r="E3">
        <f t="shared" si="0"/>
        <v>1225000</v>
      </c>
      <c r="F3">
        <f t="shared" si="1"/>
        <v>8.4600000000000009E-2</v>
      </c>
      <c r="G3">
        <f t="shared" si="2"/>
        <v>8.4600000000000009E-2</v>
      </c>
    </row>
    <row r="4" spans="1:7" x14ac:dyDescent="0.25">
      <c r="A4">
        <v>23.5</v>
      </c>
      <c r="B4" s="8">
        <v>1.3919999999999999</v>
      </c>
      <c r="C4" s="5">
        <v>7.2</v>
      </c>
      <c r="D4">
        <v>0</v>
      </c>
      <c r="E4">
        <f t="shared" si="0"/>
        <v>68208000</v>
      </c>
      <c r="F4">
        <f t="shared" si="1"/>
        <v>3.4528879999999997</v>
      </c>
      <c r="G4">
        <f t="shared" si="2"/>
        <v>3.4528879999999997</v>
      </c>
    </row>
    <row r="5" spans="1:7" x14ac:dyDescent="0.25">
      <c r="A5">
        <v>33.5</v>
      </c>
      <c r="B5" s="12">
        <v>1.7283999999999999</v>
      </c>
      <c r="C5" s="5">
        <v>7.3</v>
      </c>
      <c r="D5">
        <v>0</v>
      </c>
      <c r="E5">
        <f t="shared" si="0"/>
        <v>84691600</v>
      </c>
      <c r="F5">
        <f t="shared" si="1"/>
        <v>4.2817775999999999</v>
      </c>
      <c r="G5">
        <f t="shared" si="2"/>
        <v>4.2817775999999999</v>
      </c>
    </row>
    <row r="6" spans="1:7" x14ac:dyDescent="0.25">
      <c r="A6">
        <v>47.5</v>
      </c>
      <c r="B6" s="12">
        <v>1.9795</v>
      </c>
      <c r="C6" s="5">
        <v>7.2</v>
      </c>
      <c r="D6">
        <v>0</v>
      </c>
      <c r="E6">
        <f t="shared" si="0"/>
        <v>96995500</v>
      </c>
      <c r="F6">
        <f t="shared" si="1"/>
        <v>4.9004879999999993</v>
      </c>
      <c r="G6">
        <f t="shared" si="2"/>
        <v>4.9004879999999993</v>
      </c>
    </row>
    <row r="7" spans="1:7" x14ac:dyDescent="0.25">
      <c r="A7">
        <v>52</v>
      </c>
      <c r="B7" s="12">
        <v>2.0118</v>
      </c>
      <c r="C7" s="5">
        <v>6.9</v>
      </c>
      <c r="D7">
        <v>0</v>
      </c>
      <c r="E7">
        <f t="shared" si="0"/>
        <v>98578200</v>
      </c>
      <c r="F7">
        <f t="shared" si="1"/>
        <v>4.9800751999999999</v>
      </c>
      <c r="G7">
        <f t="shared" si="2"/>
        <v>4.9800751999999999</v>
      </c>
    </row>
    <row r="8" spans="1:7" x14ac:dyDescent="0.25">
      <c r="A8">
        <v>71.5</v>
      </c>
      <c r="B8" s="12">
        <v>2.464</v>
      </c>
      <c r="C8" s="5">
        <v>7.2</v>
      </c>
      <c r="D8">
        <v>0</v>
      </c>
      <c r="E8">
        <f t="shared" si="0"/>
        <v>120736000</v>
      </c>
      <c r="F8">
        <f t="shared" si="1"/>
        <v>6.0942959999999999</v>
      </c>
      <c r="G8">
        <f t="shared" si="2"/>
        <v>6.0942959999999999</v>
      </c>
    </row>
    <row r="9" spans="1:7" x14ac:dyDescent="0.25">
      <c r="A9">
        <v>95.5</v>
      </c>
      <c r="B9" s="12">
        <v>2.16</v>
      </c>
      <c r="C9" s="5">
        <v>7.9</v>
      </c>
      <c r="D9">
        <v>0</v>
      </c>
      <c r="E9">
        <f t="shared" si="0"/>
        <v>105840000</v>
      </c>
      <c r="F9">
        <f t="shared" si="1"/>
        <v>5.3452399999999995</v>
      </c>
      <c r="G9">
        <f t="shared" si="2"/>
        <v>5.3452399999999995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</vt:lpstr>
      <vt:lpstr>Experiment 2</vt:lpstr>
      <vt:lpstr>Experiment 3</vt:lpstr>
      <vt:lpstr>webpage</vt:lpstr>
      <vt:lpstr>Control experiment 1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 DaSilva</dc:creator>
  <cp:lastModifiedBy>juju DaSilva</cp:lastModifiedBy>
  <dcterms:created xsi:type="dcterms:W3CDTF">2020-02-11T05:06:29Z</dcterms:created>
  <dcterms:modified xsi:type="dcterms:W3CDTF">2020-06-25T14:13:24Z</dcterms:modified>
</cp:coreProperties>
</file>