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rachaelvaldez/Desktop/Portfolio files/"/>
    </mc:Choice>
  </mc:AlternateContent>
  <bookViews>
    <workbookView xWindow="240" yWindow="460" windowWidth="26740" windowHeight="15640"/>
  </bookViews>
  <sheets>
    <sheet name="Results RL3" sheetId="2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2" l="1"/>
  <c r="D26" i="2"/>
  <c r="D46" i="2"/>
  <c r="G36" i="2"/>
  <c r="F36" i="2"/>
  <c r="E36" i="2"/>
  <c r="D36" i="2"/>
  <c r="G35" i="2"/>
  <c r="F35" i="2"/>
  <c r="E35" i="2"/>
  <c r="D35" i="2"/>
  <c r="G34" i="2"/>
  <c r="F34" i="2"/>
  <c r="E34" i="2"/>
  <c r="D34" i="2"/>
  <c r="G33" i="2"/>
  <c r="F33" i="2"/>
  <c r="E33" i="2"/>
  <c r="D33" i="2"/>
  <c r="G32" i="2"/>
  <c r="F32" i="2"/>
  <c r="E32" i="2"/>
  <c r="D32" i="2"/>
  <c r="G31" i="2"/>
  <c r="F31" i="2"/>
  <c r="E31" i="2"/>
  <c r="D31" i="2"/>
  <c r="G30" i="2"/>
  <c r="F30" i="2"/>
  <c r="E30" i="2"/>
  <c r="D30" i="2"/>
  <c r="G29" i="2"/>
  <c r="F29" i="2"/>
  <c r="E29" i="2"/>
  <c r="D29" i="2"/>
  <c r="K25" i="2"/>
  <c r="I25" i="2"/>
  <c r="H25" i="2"/>
  <c r="G25" i="2"/>
  <c r="F25" i="2"/>
  <c r="E25" i="2"/>
  <c r="D25" i="2"/>
  <c r="K24" i="2"/>
  <c r="I24" i="2"/>
  <c r="H24" i="2"/>
  <c r="G24" i="2"/>
  <c r="F24" i="2"/>
  <c r="E24" i="2"/>
  <c r="D24" i="2"/>
  <c r="K22" i="2"/>
  <c r="K23" i="2"/>
  <c r="I23" i="2"/>
  <c r="H23" i="2"/>
  <c r="G23" i="2"/>
  <c r="F23" i="2"/>
  <c r="E23" i="2"/>
  <c r="D23" i="2"/>
  <c r="I22" i="2"/>
  <c r="H22" i="2"/>
  <c r="G22" i="2"/>
  <c r="F22" i="2"/>
  <c r="E22" i="2"/>
  <c r="D22" i="2"/>
  <c r="I21" i="2"/>
  <c r="H21" i="2"/>
  <c r="G21" i="2"/>
  <c r="G40" i="2"/>
  <c r="F21" i="2"/>
  <c r="F40" i="2"/>
  <c r="E21" i="2"/>
  <c r="D21" i="2"/>
  <c r="I20" i="2"/>
  <c r="H20" i="2"/>
  <c r="G20" i="2"/>
  <c r="F20" i="2"/>
  <c r="E20" i="2"/>
  <c r="D20" i="2"/>
  <c r="I19" i="2"/>
  <c r="H19" i="2"/>
  <c r="G19" i="2"/>
  <c r="G45" i="2"/>
  <c r="F19" i="2"/>
  <c r="E19" i="2"/>
  <c r="D19" i="2"/>
  <c r="V18" i="2"/>
  <c r="U18" i="2"/>
  <c r="I18" i="2"/>
  <c r="H18" i="2"/>
  <c r="G18" i="2"/>
  <c r="F18" i="2"/>
  <c r="E18" i="2"/>
  <c r="D18" i="2"/>
  <c r="M3" i="2"/>
  <c r="U19" i="2"/>
  <c r="M2" i="2"/>
  <c r="M1" i="2"/>
  <c r="K29" i="2"/>
  <c r="K30" i="2"/>
  <c r="K32" i="2"/>
  <c r="K35" i="2"/>
  <c r="K34" i="2"/>
  <c r="E41" i="2"/>
  <c r="N33" i="2"/>
  <c r="L29" i="2"/>
  <c r="L30" i="2"/>
  <c r="L32" i="2"/>
  <c r="G26" i="2"/>
  <c r="U28" i="2"/>
  <c r="V28" i="2"/>
  <c r="N29" i="2"/>
  <c r="N30" i="2"/>
  <c r="N32" i="2"/>
  <c r="N35" i="2"/>
  <c r="F43" i="2"/>
  <c r="G43" i="2"/>
  <c r="K31" i="2"/>
  <c r="K33" i="2"/>
  <c r="K36" i="2"/>
  <c r="F41" i="2"/>
  <c r="G42" i="2"/>
  <c r="L31" i="2"/>
  <c r="L34" i="2"/>
  <c r="L36" i="2"/>
  <c r="E26" i="2"/>
  <c r="U26" i="2"/>
  <c r="V26" i="2"/>
  <c r="G41" i="2"/>
  <c r="J23" i="2"/>
  <c r="L23" i="2"/>
  <c r="E43" i="2"/>
  <c r="M29" i="2"/>
  <c r="M31" i="2"/>
  <c r="M32" i="2"/>
  <c r="M33" i="2"/>
  <c r="M34" i="2"/>
  <c r="M35" i="2"/>
  <c r="M36" i="2"/>
  <c r="M30" i="2"/>
  <c r="L35" i="2"/>
  <c r="U20" i="2"/>
  <c r="J24" i="2"/>
  <c r="L24" i="2"/>
  <c r="J22" i="2"/>
  <c r="U21" i="2"/>
  <c r="V19" i="2"/>
  <c r="J21" i="2"/>
  <c r="L21" i="2"/>
  <c r="M21" i="2"/>
  <c r="U25" i="2"/>
  <c r="V25" i="2"/>
  <c r="D45" i="2"/>
  <c r="D43" i="2"/>
  <c r="D41" i="2"/>
  <c r="D40" i="2"/>
  <c r="F44" i="2"/>
  <c r="E44" i="2"/>
  <c r="D44" i="2"/>
  <c r="N34" i="2"/>
  <c r="J20" i="2"/>
  <c r="L20" i="2"/>
  <c r="L22" i="2"/>
  <c r="F42" i="2"/>
  <c r="E42" i="2"/>
  <c r="D42" i="2"/>
  <c r="G44" i="2"/>
  <c r="N31" i="2"/>
  <c r="L33" i="2"/>
  <c r="F26" i="2"/>
  <c r="U27" i="2"/>
  <c r="V27" i="2"/>
  <c r="F45" i="2"/>
  <c r="J19" i="2"/>
  <c r="L19" i="2"/>
  <c r="J25" i="2"/>
  <c r="L25" i="2"/>
  <c r="N36" i="2"/>
  <c r="E40" i="2"/>
  <c r="E45" i="2"/>
  <c r="M23" i="2"/>
  <c r="M24" i="2"/>
  <c r="M25" i="2"/>
  <c r="M19" i="2"/>
  <c r="M26" i="2"/>
  <c r="M20" i="2"/>
  <c r="G46" i="2"/>
  <c r="M22" i="2"/>
  <c r="E46" i="2"/>
  <c r="F46" i="2"/>
  <c r="V20" i="2"/>
  <c r="V21" i="2"/>
</calcChain>
</file>

<file path=xl/sharedStrings.xml><?xml version="1.0" encoding="utf-8"?>
<sst xmlns="http://schemas.openxmlformats.org/spreadsheetml/2006/main" count="160" uniqueCount="55">
  <si>
    <t>max</t>
  </si>
  <si>
    <t>avg</t>
  </si>
  <si>
    <t>Plate 1</t>
  </si>
  <si>
    <t>Max RLU</t>
  </si>
  <si>
    <t>SD</t>
  </si>
  <si>
    <t>Blank</t>
  </si>
  <si>
    <t>Empty</t>
  </si>
  <si>
    <t>A</t>
  </si>
  <si>
    <t>AVC</t>
  </si>
  <si>
    <t>B</t>
  </si>
  <si>
    <t>C</t>
  </si>
  <si>
    <t>D</t>
  </si>
  <si>
    <t>Lys</t>
  </si>
  <si>
    <t>E</t>
  </si>
  <si>
    <t>LM</t>
  </si>
  <si>
    <t>F</t>
  </si>
  <si>
    <t>FT</t>
  </si>
  <si>
    <t>G</t>
  </si>
  <si>
    <t>Wash 1</t>
  </si>
  <si>
    <t>H</t>
  </si>
  <si>
    <t>Wash 2</t>
  </si>
  <si>
    <t>Volumetric Activity</t>
  </si>
  <si>
    <t>Assay Performance Characteristics</t>
  </si>
  <si>
    <t>RLU Avg MRSA</t>
  </si>
  <si>
    <t>Volume</t>
  </si>
  <si>
    <t>% Recovery</t>
  </si>
  <si>
    <t>Test</t>
  </si>
  <si>
    <t>Specification</t>
  </si>
  <si>
    <t>OT</t>
  </si>
  <si>
    <t>Blank Average RLU</t>
  </si>
  <si>
    <t>≤400</t>
  </si>
  <si>
    <t>Cutoff</t>
  </si>
  <si>
    <t>N/A</t>
  </si>
  <si>
    <t>4 Strains</t>
  </si>
  <si>
    <t>1 Strain</t>
  </si>
  <si>
    <t>Strain specifications</t>
  </si>
  <si>
    <t>Analysis</t>
  </si>
  <si>
    <t>Result</t>
  </si>
  <si>
    <t xml:space="preserve">≤Signal≤ </t>
  </si>
  <si>
    <t>sum</t>
  </si>
  <si>
    <t>StDev</t>
  </si>
  <si>
    <t>% Recovery by strain</t>
  </si>
  <si>
    <t>Time(hh:mm:ss)</t>
  </si>
  <si>
    <t xml:space="preserve"> </t>
  </si>
  <si>
    <t>Strain 1</t>
  </si>
  <si>
    <t>Strain 2</t>
  </si>
  <si>
    <t>Strain 3</t>
  </si>
  <si>
    <t>Strain 4</t>
  </si>
  <si>
    <t>Strain 5</t>
  </si>
  <si>
    <t>Signal</t>
  </si>
  <si>
    <t>Strain 5(Neg)</t>
  </si>
  <si>
    <t>Negative by Assay</t>
  </si>
  <si>
    <t>Positive by Assay</t>
  </si>
  <si>
    <t>Ret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</si>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</sst>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charset val="136"/>
      <scheme val="minor"/>
    </font>
    <font>
      <b/>
      <sz val="10"/>
      <color theme="1"/>
      <name val="Calibri"/>
      <family val="2"/>
      <scheme val="minor"/>
    </font>
    <font>
      <sz val="10"/>
      <color rgb="FF222222"/>
      <name val="Arial"/>
      <family val="2"/>
    </font>
    <font>
      <sz val="9"/>
      <color theme="1"/>
      <name val="Calibri"/>
      <family val="2"/>
      <charset val="136"/>
      <scheme val="minor"/>
    </font>
    <font>
      <b/>
      <u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9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1" fillId="3" borderId="0" applyNumberFormat="0" applyBorder="0" applyAlignment="0" applyProtection="0"/>
    <xf numFmtId="0" fontId="2" fillId="2" borderId="0" applyNumberFormat="0" applyBorder="0" applyAlignment="0" applyProtection="0"/>
    <xf numFmtId="0" fontId="12" fillId="2" borderId="0" applyNumberFormat="0" applyBorder="0" applyAlignment="0" applyProtection="0"/>
    <xf numFmtId="0" fontId="13" fillId="4" borderId="0" applyNumberFormat="0" applyBorder="0" applyAlignment="0" applyProtection="0"/>
    <xf numFmtId="0" fontId="1" fillId="0" borderId="0"/>
    <xf numFmtId="0" fontId="14" fillId="0" borderId="0"/>
    <xf numFmtId="0" fontId="1" fillId="0" borderId="0"/>
    <xf numFmtId="0" fontId="1" fillId="0" borderId="0"/>
    <xf numFmtId="0" fontId="14" fillId="0" borderId="0"/>
    <xf numFmtId="0" fontId="1" fillId="5" borderId="1" applyNumberFormat="0" applyFont="0" applyAlignment="0" applyProtection="0"/>
    <xf numFmtId="0" fontId="1" fillId="5" borderId="1" applyNumberFormat="0" applyFont="0" applyAlignment="0" applyProtection="0"/>
    <xf numFmtId="0" fontId="1" fillId="5" borderId="1" applyNumberFormat="0" applyFon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1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5" fillId="0" borderId="0" xfId="0" applyFont="1" applyBorder="1" applyAlignment="1" applyProtection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7" fillId="0" borderId="0" xfId="0" applyFont="1" applyFill="1"/>
    <xf numFmtId="0" fontId="0" fillId="0" borderId="0" xfId="0" applyFont="1"/>
    <xf numFmtId="1" fontId="0" fillId="0" borderId="2" xfId="0" applyNumberFormat="1" applyFont="1" applyFill="1" applyBorder="1"/>
    <xf numFmtId="9" fontId="0" fillId="0" borderId="0" xfId="0" applyNumberFormat="1"/>
    <xf numFmtId="0" fontId="8" fillId="0" borderId="0" xfId="0" applyFont="1"/>
    <xf numFmtId="0" fontId="9" fillId="0" borderId="0" xfId="0" applyFont="1" applyAlignment="1" applyProtection="1"/>
    <xf numFmtId="0" fontId="0" fillId="0" borderId="0" xfId="0" applyAlignment="1" applyProtection="1">
      <alignment horizontal="center"/>
    </xf>
    <xf numFmtId="0" fontId="0" fillId="0" borderId="0" xfId="0" applyAlignment="1">
      <alignment wrapText="1"/>
    </xf>
    <xf numFmtId="0" fontId="3" fillId="0" borderId="0" xfId="0" applyFont="1" applyAlignment="1" applyProtection="1">
      <protection locked="0"/>
    </xf>
    <xf numFmtId="0" fontId="5" fillId="0" borderId="2" xfId="0" applyFont="1" applyBorder="1" applyAlignment="1" applyProtection="1">
      <alignment horizontal="center"/>
    </xf>
    <xf numFmtId="1" fontId="0" fillId="0" borderId="2" xfId="0" applyNumberFormat="1" applyBorder="1"/>
    <xf numFmtId="0" fontId="0" fillId="24" borderId="2" xfId="0" applyFill="1" applyBorder="1"/>
    <xf numFmtId="1" fontId="0" fillId="0" borderId="2" xfId="0" applyNumberFormat="1" applyFont="1" applyFill="1" applyBorder="1" applyAlignment="1" applyProtection="1">
      <alignment horizontal="center"/>
    </xf>
    <xf numFmtId="2" fontId="0" fillId="0" borderId="2" xfId="0" applyNumberFormat="1" applyBorder="1"/>
    <xf numFmtId="9" fontId="0" fillId="0" borderId="2" xfId="1" applyFont="1" applyBorder="1"/>
    <xf numFmtId="0" fontId="10" fillId="0" borderId="2" xfId="0" applyNumberFormat="1" applyFont="1" applyFill="1" applyBorder="1" applyAlignment="1" applyProtection="1">
      <alignment horizontal="center"/>
    </xf>
    <xf numFmtId="0" fontId="0" fillId="0" borderId="2" xfId="0" applyNumberFormat="1" applyFont="1" applyFill="1" applyBorder="1" applyAlignment="1" applyProtection="1">
      <alignment horizontal="center"/>
    </xf>
    <xf numFmtId="164" fontId="0" fillId="0" borderId="2" xfId="0" applyNumberFormat="1" applyBorder="1"/>
    <xf numFmtId="0" fontId="0" fillId="0" borderId="0" xfId="0" applyFont="1" applyFill="1" applyBorder="1" applyProtection="1"/>
    <xf numFmtId="0" fontId="0" fillId="0" borderId="0" xfId="0" applyFill="1" applyAlignment="1">
      <alignment horizontal="center"/>
    </xf>
    <xf numFmtId="0" fontId="9" fillId="0" borderId="0" xfId="0" applyFont="1" applyFill="1" applyBorder="1" applyProtection="1"/>
    <xf numFmtId="0" fontId="0" fillId="0" borderId="0" xfId="0" applyFill="1"/>
    <xf numFmtId="165" fontId="0" fillId="0" borderId="2" xfId="0" applyNumberFormat="1" applyBorder="1"/>
    <xf numFmtId="0" fontId="5" fillId="0" borderId="2" xfId="0" applyFont="1" applyFill="1" applyBorder="1" applyAlignment="1" applyProtection="1">
      <alignment horizontal="center"/>
    </xf>
    <xf numFmtId="2" fontId="10" fillId="0" borderId="3" xfId="0" applyNumberFormat="1" applyFont="1" applyFill="1" applyBorder="1" applyAlignment="1" applyProtection="1">
      <alignment horizontal="center"/>
    </xf>
    <xf numFmtId="0" fontId="10" fillId="0" borderId="4" xfId="0" applyFont="1" applyFill="1" applyBorder="1" applyAlignment="1" applyProtection="1">
      <alignment horizontal="center"/>
    </xf>
    <xf numFmtId="165" fontId="10" fillId="0" borderId="5" xfId="0" applyNumberFormat="1" applyFont="1" applyFill="1" applyBorder="1" applyAlignment="1" applyProtection="1">
      <alignment horizontal="center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2" xfId="0" applyBorder="1"/>
    <xf numFmtId="0" fontId="0" fillId="25" borderId="0" xfId="0" applyFill="1" applyAlignment="1">
      <alignment horizontal="right"/>
    </xf>
    <xf numFmtId="2" fontId="0" fillId="0" borderId="0" xfId="0" applyNumberFormat="1" applyFill="1"/>
    <xf numFmtId="9" fontId="0" fillId="0" borderId="0" xfId="1" applyFont="1"/>
    <xf numFmtId="0" fontId="0" fillId="19" borderId="2" xfId="0" applyFill="1" applyBorder="1"/>
    <xf numFmtId="0" fontId="0" fillId="20" borderId="6" xfId="0" applyFill="1" applyBorder="1"/>
    <xf numFmtId="9" fontId="0" fillId="0" borderId="6" xfId="1" applyFont="1" applyBorder="1"/>
    <xf numFmtId="0" fontId="0" fillId="21" borderId="7" xfId="0" applyFill="1" applyBorder="1"/>
    <xf numFmtId="9" fontId="0" fillId="0" borderId="7" xfId="1" applyFont="1" applyBorder="1"/>
    <xf numFmtId="0" fontId="0" fillId="22" borderId="2" xfId="0" applyFill="1" applyBorder="1"/>
    <xf numFmtId="0" fontId="0" fillId="23" borderId="2" xfId="0" applyFill="1" applyBorder="1"/>
    <xf numFmtId="0" fontId="3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26" borderId="2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10" fillId="0" borderId="2" xfId="0" applyFont="1" applyBorder="1" applyAlignment="1" applyProtection="1">
      <alignment horizontal="center"/>
    </xf>
  </cellXfs>
  <cellStyles count="42">
    <cellStyle name="20% - Accent1 2" xfId="2"/>
    <cellStyle name="20% - Accent1 3" xfId="3"/>
    <cellStyle name="20% - Accent2 2" xfId="4"/>
    <cellStyle name="20% - Accent2 3" xfId="5"/>
    <cellStyle name="20% - Accent3 2" xfId="6"/>
    <cellStyle name="20% - Accent3 3" xfId="7"/>
    <cellStyle name="20% - Accent4 2" xfId="8"/>
    <cellStyle name="20% - Accent4 3" xfId="9"/>
    <cellStyle name="20% - Accent5 2" xfId="10"/>
    <cellStyle name="20% - Accent5 3" xfId="11"/>
    <cellStyle name="20% - Accent6 2" xfId="12"/>
    <cellStyle name="20% - Accent6 3" xfId="13"/>
    <cellStyle name="40% - Accent1 2" xfId="14"/>
    <cellStyle name="40% - Accent1 3" xfId="15"/>
    <cellStyle name="40% - Accent2 2" xfId="16"/>
    <cellStyle name="40% - Accent2 3" xfId="17"/>
    <cellStyle name="40% - Accent3 2" xfId="18"/>
    <cellStyle name="40% - Accent3 3" xfId="19"/>
    <cellStyle name="40% - Accent4 2" xfId="20"/>
    <cellStyle name="40% - Accent4 3" xfId="21"/>
    <cellStyle name="40% - Accent5 2" xfId="22"/>
    <cellStyle name="40% - Accent5 3" xfId="23"/>
    <cellStyle name="40% - Accent6 2" xfId="24"/>
    <cellStyle name="40% - Accent6 3" xfId="25"/>
    <cellStyle name="Bad 2" xfId="26"/>
    <cellStyle name="Good 2" xfId="27"/>
    <cellStyle name="Good 3" xfId="28"/>
    <cellStyle name="Neutral 2" xfId="29"/>
    <cellStyle name="Normal" xfId="0" builtinId="0"/>
    <cellStyle name="Normal 2" xfId="30"/>
    <cellStyle name="Normal 2 2 2" xfId="31"/>
    <cellStyle name="Normal 3" xfId="32"/>
    <cellStyle name="Normal 4" xfId="33"/>
    <cellStyle name="Normal 5" xfId="34"/>
    <cellStyle name="Note 2" xfId="35"/>
    <cellStyle name="Note 3" xfId="36"/>
    <cellStyle name="Note 4" xfId="37"/>
    <cellStyle name="Percent" xfId="1" builtinId="5"/>
    <cellStyle name="Percent 2" xfId="38"/>
    <cellStyle name="Percent 2 2" xfId="39"/>
    <cellStyle name="Percent 3" xfId="40"/>
    <cellStyle name="Percent 4" xfId="41"/>
  </cellStyles>
  <dxfs count="4"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'Results RL3'!$C$42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'Results RL3'!$D$39:$G$39</c:f>
              <c:strCache>
                <c:ptCount val="4"/>
                <c:pt idx="0">
                  <c:v>Strain 1</c:v>
                </c:pt>
                <c:pt idx="1">
                  <c:v>Strain 2</c:v>
                </c:pt>
                <c:pt idx="2">
                  <c:v>Strain 3</c:v>
                </c:pt>
                <c:pt idx="3">
                  <c:v>Strain 4</c:v>
                </c:pt>
              </c:strCache>
            </c:strRef>
          </c:cat>
          <c:val>
            <c:numRef>
              <c:f>'Results RL3'!$D$42:$G$42</c:f>
              <c:numCache>
                <c:formatCode>0%</c:formatCode>
                <c:ptCount val="4"/>
                <c:pt idx="0">
                  <c:v>1.122757173406762</c:v>
                </c:pt>
                <c:pt idx="1">
                  <c:v>1.786651319801775</c:v>
                </c:pt>
                <c:pt idx="2">
                  <c:v>1.972305364937227</c:v>
                </c:pt>
                <c:pt idx="3">
                  <c:v>1.195917072538364</c:v>
                </c:pt>
              </c:numCache>
            </c:numRef>
          </c:val>
        </c:ser>
        <c:ser>
          <c:idx val="0"/>
          <c:order val="1"/>
          <c:tx>
            <c:strRef>
              <c:f>'Results RL3'!$C$43</c:f>
              <c:strCache>
                <c:ptCount val="1"/>
                <c:pt idx="0">
                  <c:v>Wash 1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invertIfNegative val="0"/>
          <c:cat>
            <c:strRef>
              <c:f>'Results RL3'!$D$39:$G$39</c:f>
              <c:strCache>
                <c:ptCount val="4"/>
                <c:pt idx="0">
                  <c:v>Strain 1</c:v>
                </c:pt>
                <c:pt idx="1">
                  <c:v>Strain 2</c:v>
                </c:pt>
                <c:pt idx="2">
                  <c:v>Strain 3</c:v>
                </c:pt>
                <c:pt idx="3">
                  <c:v>Strain 4</c:v>
                </c:pt>
              </c:strCache>
            </c:strRef>
          </c:cat>
          <c:val>
            <c:numRef>
              <c:f>'Results RL3'!$D$43:$G$43</c:f>
              <c:numCache>
                <c:formatCode>0%</c:formatCode>
                <c:ptCount val="4"/>
                <c:pt idx="0">
                  <c:v>0.00363059135876804</c:v>
                </c:pt>
                <c:pt idx="1">
                  <c:v>0.0114862262313564</c:v>
                </c:pt>
                <c:pt idx="2">
                  <c:v>0.0362113090610842</c:v>
                </c:pt>
                <c:pt idx="3">
                  <c:v>0.00281011568882147</c:v>
                </c:pt>
              </c:numCache>
            </c:numRef>
          </c:val>
        </c:ser>
        <c:ser>
          <c:idx val="1"/>
          <c:order val="2"/>
          <c:tx>
            <c:strRef>
              <c:f>'Results RL3'!$C$44</c:f>
              <c:strCache>
                <c:ptCount val="1"/>
                <c:pt idx="0">
                  <c:v>Wash 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'Results RL3'!$D$39:$G$39</c:f>
              <c:strCache>
                <c:ptCount val="4"/>
                <c:pt idx="0">
                  <c:v>Strain 1</c:v>
                </c:pt>
                <c:pt idx="1">
                  <c:v>Strain 2</c:v>
                </c:pt>
                <c:pt idx="2">
                  <c:v>Strain 3</c:v>
                </c:pt>
                <c:pt idx="3">
                  <c:v>Strain 4</c:v>
                </c:pt>
              </c:strCache>
            </c:strRef>
          </c:cat>
          <c:val>
            <c:numRef>
              <c:f>'Results RL3'!$D$44:$G$44</c:f>
              <c:numCache>
                <c:formatCode>0%</c:formatCode>
                <c:ptCount val="4"/>
                <c:pt idx="0">
                  <c:v>0.286589816437307</c:v>
                </c:pt>
                <c:pt idx="1">
                  <c:v>0.442221449164715</c:v>
                </c:pt>
                <c:pt idx="2">
                  <c:v>0.424140362172671</c:v>
                </c:pt>
                <c:pt idx="3">
                  <c:v>0.223247430301041</c:v>
                </c:pt>
              </c:numCache>
            </c:numRef>
          </c:val>
        </c:ser>
        <c:ser>
          <c:idx val="2"/>
          <c:order val="3"/>
          <c:tx>
            <c:strRef>
              <c:f>'Results RL3'!$C$45</c:f>
              <c:strCache>
                <c:ptCount val="1"/>
                <c:pt idx="0">
                  <c:v>Elu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cat>
            <c:strRef>
              <c:f>'Results RL3'!$D$39:$G$39</c:f>
              <c:strCache>
                <c:ptCount val="4"/>
                <c:pt idx="0">
                  <c:v>Strain 1</c:v>
                </c:pt>
                <c:pt idx="1">
                  <c:v>Strain 2</c:v>
                </c:pt>
                <c:pt idx="2">
                  <c:v>Strain 3</c:v>
                </c:pt>
                <c:pt idx="3">
                  <c:v>Strain 4</c:v>
                </c:pt>
              </c:strCache>
            </c:strRef>
          </c:cat>
          <c:val>
            <c:numRef>
              <c:f>'Results RL3'!$D$45:$G$45</c:f>
              <c:numCache>
                <c:formatCode>0%</c:formatCode>
                <c:ptCount val="4"/>
                <c:pt idx="0">
                  <c:v>0.498940974724536</c:v>
                </c:pt>
                <c:pt idx="1">
                  <c:v>0.322327263478168</c:v>
                </c:pt>
                <c:pt idx="2">
                  <c:v>2.029564060089377</c:v>
                </c:pt>
                <c:pt idx="3">
                  <c:v>0.770911953688386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651288320"/>
        <c:axId val="-1666577600"/>
      </c:barChart>
      <c:catAx>
        <c:axId val="-165128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666577600"/>
        <c:crosses val="autoZero"/>
        <c:auto val="1"/>
        <c:lblAlgn val="ctr"/>
        <c:lblOffset val="100"/>
        <c:noMultiLvlLbl val="0"/>
      </c:catAx>
      <c:valAx>
        <c:axId val="-1666577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165128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493058</xdr:colOff>
      <xdr:row>35</xdr:row>
      <xdr:rowOff>158003</xdr:rowOff>
    </xdr:from>
    <xdr:to>
      <xdr:col>14</xdr:col>
      <xdr:colOff>605117</xdr:colOff>
      <xdr:row>50</xdr:row>
      <xdr:rowOff>32497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7_1010%20TM032%20PNZ17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RL3 (2)"/>
      <sheetName val="Results PNZ17A 100mL reserv"/>
      <sheetName val="Results PNZ17A 250mL reserv"/>
      <sheetName val="Results PNZ17A 500mL reserv"/>
    </sheetNames>
    <sheetDataSet>
      <sheetData sheetId="0">
        <row r="39">
          <cell r="D39" t="str">
            <v>Strain 1</v>
          </cell>
          <cell r="E39" t="str">
            <v>Strain 2</v>
          </cell>
          <cell r="F39" t="str">
            <v>Strain 3</v>
          </cell>
          <cell r="G39" t="str">
            <v>Strain 4</v>
          </cell>
        </row>
        <row r="42">
          <cell r="C42" t="str">
            <v>FT</v>
          </cell>
          <cell r="D42">
            <v>1.1227571734067618</v>
          </cell>
          <cell r="E42">
            <v>1.7866513198017753</v>
          </cell>
          <cell r="F42">
            <v>1.9723053649372266</v>
          </cell>
          <cell r="G42">
            <v>1.1959170725383643</v>
          </cell>
        </row>
        <row r="43">
          <cell r="C43" t="str">
            <v>Wash 1</v>
          </cell>
          <cell r="D43">
            <v>3.6305913587680433E-3</v>
          </cell>
          <cell r="E43">
            <v>1.1486226231356396E-2</v>
          </cell>
          <cell r="F43">
            <v>3.6211309061084218E-2</v>
          </cell>
          <cell r="G43">
            <v>2.8101156888214701E-3</v>
          </cell>
        </row>
        <row r="44">
          <cell r="C44" t="str">
            <v>Wash 2</v>
          </cell>
          <cell r="D44">
            <v>0.28658981643730752</v>
          </cell>
          <cell r="E44">
            <v>0.44222144916471517</v>
          </cell>
          <cell r="F44">
            <v>0.42414036217267126</v>
          </cell>
          <cell r="G44">
            <v>0.22324743030104074</v>
          </cell>
        </row>
        <row r="45">
          <cell r="C45" t="str">
            <v>Elu</v>
          </cell>
          <cell r="D45">
            <v>0.4989409747245358</v>
          </cell>
          <cell r="E45">
            <v>0.32232726347816831</v>
          </cell>
          <cell r="F45">
            <v>2.0295640600893772</v>
          </cell>
          <cell r="G45">
            <v>0.77091195368838594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55"/>
  <sheetViews>
    <sheetView tabSelected="1" topLeftCell="A9" zoomScale="80" zoomScaleNormal="80" workbookViewId="0">
      <selection activeCell="P20" sqref="P20:R21"/>
    </sheetView>
  </sheetViews>
  <sheetFormatPr baseColWidth="10" defaultColWidth="8.83203125" defaultRowHeight="15" x14ac:dyDescent="0.2"/>
  <cols>
    <col min="1" max="2" width="7.33203125" customWidth="1"/>
    <col min="3" max="3" width="12.1640625" bestFit="1" customWidth="1"/>
    <col min="4" max="5" width="9.6640625" bestFit="1" customWidth="1"/>
    <col min="6" max="6" width="11.6640625" bestFit="1" customWidth="1"/>
    <col min="7" max="7" width="11.5" bestFit="1" customWidth="1"/>
    <col min="8" max="9" width="9.6640625" bestFit="1" customWidth="1"/>
    <col min="10" max="10" width="9.5" bestFit="1" customWidth="1"/>
    <col min="11" max="11" width="10" style="13" bestFit="1" customWidth="1"/>
    <col min="12" max="13" width="9.6640625" bestFit="1" customWidth="1"/>
    <col min="14" max="14" width="8.33203125" bestFit="1" customWidth="1"/>
    <col min="15" max="15" width="10.6640625" customWidth="1"/>
    <col min="16" max="16" width="12" bestFit="1" customWidth="1"/>
  </cols>
  <sheetData>
    <row r="1" spans="1:30" x14ac:dyDescent="0.2">
      <c r="D1" s="1"/>
      <c r="F1" s="1"/>
      <c r="G1" s="1"/>
      <c r="H1" s="1"/>
      <c r="I1" s="1"/>
      <c r="K1"/>
      <c r="L1" t="s">
        <v>0</v>
      </c>
      <c r="M1" s="2">
        <f>MAX(M7:M14)</f>
        <v>386.47747199999998</v>
      </c>
    </row>
    <row r="2" spans="1:30" x14ac:dyDescent="0.2">
      <c r="K2"/>
      <c r="L2" t="s">
        <v>1</v>
      </c>
      <c r="M2" s="2">
        <f>AVERAGE(M7:M14)</f>
        <v>236.89673350000001</v>
      </c>
    </row>
    <row r="3" spans="1:30" x14ac:dyDescent="0.2">
      <c r="B3" s="1" t="s">
        <v>2</v>
      </c>
      <c r="C3" s="1" t="s">
        <v>3</v>
      </c>
      <c r="D3" s="7"/>
      <c r="E3" s="3"/>
      <c r="F3" s="4"/>
      <c r="G3" s="5"/>
      <c r="K3"/>
      <c r="L3" t="s">
        <v>4</v>
      </c>
      <c r="M3" s="2">
        <f>STDEV(M7:M14)</f>
        <v>77.981860009306132</v>
      </c>
    </row>
    <row r="4" spans="1:30" ht="16" x14ac:dyDescent="0.2">
      <c r="C4" s="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0" x14ac:dyDescent="0.2">
      <c r="D5" s="60" t="s">
        <v>44</v>
      </c>
      <c r="E5" s="60"/>
      <c r="F5" s="60" t="s">
        <v>45</v>
      </c>
      <c r="G5" s="60"/>
      <c r="H5" s="60" t="s">
        <v>46</v>
      </c>
      <c r="I5" s="60"/>
      <c r="J5" s="60" t="s">
        <v>47</v>
      </c>
      <c r="K5" s="60"/>
      <c r="L5" s="8" t="s">
        <v>50</v>
      </c>
      <c r="M5" s="7" t="s">
        <v>5</v>
      </c>
      <c r="N5" s="7" t="s">
        <v>6</v>
      </c>
      <c r="O5" s="7" t="s">
        <v>6</v>
      </c>
      <c r="Q5" t="s">
        <v>42</v>
      </c>
      <c r="S5">
        <v>1</v>
      </c>
      <c r="T5">
        <v>2</v>
      </c>
      <c r="U5">
        <v>3</v>
      </c>
      <c r="V5">
        <v>4</v>
      </c>
      <c r="W5">
        <v>5</v>
      </c>
      <c r="X5">
        <v>6</v>
      </c>
      <c r="Y5">
        <v>7</v>
      </c>
      <c r="Z5">
        <v>8</v>
      </c>
      <c r="AA5">
        <v>9</v>
      </c>
      <c r="AB5">
        <v>10</v>
      </c>
      <c r="AC5">
        <v>11</v>
      </c>
      <c r="AD5">
        <v>12</v>
      </c>
    </row>
    <row r="6" spans="1:30" x14ac:dyDescent="0.2">
      <c r="C6" s="9"/>
      <c r="D6" s="10">
        <v>1</v>
      </c>
      <c r="E6" s="10">
        <v>2</v>
      </c>
      <c r="F6" s="10">
        <v>3</v>
      </c>
      <c r="G6" s="10">
        <v>4</v>
      </c>
      <c r="H6" s="10">
        <v>5</v>
      </c>
      <c r="I6" s="10">
        <v>6</v>
      </c>
      <c r="J6" s="10">
        <v>7</v>
      </c>
      <c r="K6" s="10">
        <v>8</v>
      </c>
      <c r="L6" s="10">
        <v>9</v>
      </c>
      <c r="M6" s="10">
        <v>10</v>
      </c>
      <c r="N6" s="10">
        <v>11</v>
      </c>
      <c r="O6" s="10">
        <v>12</v>
      </c>
      <c r="S6">
        <v>60041.693254999998</v>
      </c>
      <c r="T6">
        <v>64255.263077000003</v>
      </c>
      <c r="U6">
        <v>6443.0354630000002</v>
      </c>
      <c r="V6">
        <v>8225.8364199999996</v>
      </c>
      <c r="W6">
        <v>20119.593859000001</v>
      </c>
      <c r="X6">
        <v>23404.505023000002</v>
      </c>
      <c r="Y6">
        <v>42149.961732000003</v>
      </c>
      <c r="Z6">
        <v>45703.795674000001</v>
      </c>
      <c r="AA6">
        <v>154.47471200000001</v>
      </c>
      <c r="AB6">
        <v>313.21342299999998</v>
      </c>
      <c r="AC6" t="s">
        <v>43</v>
      </c>
      <c r="AD6" t="s">
        <v>43</v>
      </c>
    </row>
    <row r="7" spans="1:30" x14ac:dyDescent="0.2">
      <c r="A7" t="s">
        <v>7</v>
      </c>
      <c r="B7" s="48" t="s">
        <v>7</v>
      </c>
      <c r="C7" s="49" t="s">
        <v>8</v>
      </c>
      <c r="D7" s="11">
        <v>60041.693254999998</v>
      </c>
      <c r="E7" s="11">
        <v>64255.263077000003</v>
      </c>
      <c r="F7" s="11">
        <v>6443.0354630000002</v>
      </c>
      <c r="G7" s="11">
        <v>8225.8364199999996</v>
      </c>
      <c r="H7" s="11">
        <v>20119.593859000001</v>
      </c>
      <c r="I7" s="11">
        <v>23404.505023000002</v>
      </c>
      <c r="J7" s="11">
        <v>42149.961732000003</v>
      </c>
      <c r="K7" s="11">
        <v>45703.795674000001</v>
      </c>
      <c r="L7" s="11">
        <v>154.47471200000001</v>
      </c>
      <c r="M7" s="11">
        <v>313.21342299999998</v>
      </c>
      <c r="N7" s="11">
        <v>0</v>
      </c>
      <c r="O7" s="11">
        <v>0</v>
      </c>
      <c r="S7">
        <v>42455.272236999997</v>
      </c>
      <c r="T7">
        <v>41954.563175000003</v>
      </c>
      <c r="U7">
        <v>6784.9416570000003</v>
      </c>
      <c r="V7">
        <v>9080.6078429999998</v>
      </c>
      <c r="W7">
        <v>16578.280994000001</v>
      </c>
      <c r="X7">
        <v>19215.944447000002</v>
      </c>
      <c r="Y7">
        <v>34773.756442999998</v>
      </c>
      <c r="Z7">
        <v>46631.951829999998</v>
      </c>
      <c r="AA7">
        <v>191.10671500000001</v>
      </c>
      <c r="AB7">
        <v>386.47747199999998</v>
      </c>
      <c r="AC7" t="s">
        <v>43</v>
      </c>
      <c r="AD7" t="s">
        <v>43</v>
      </c>
    </row>
    <row r="8" spans="1:30" x14ac:dyDescent="0.2">
      <c r="A8" t="s">
        <v>9</v>
      </c>
      <c r="B8" s="48" t="s">
        <v>9</v>
      </c>
      <c r="C8" s="50" t="s">
        <v>53</v>
      </c>
      <c r="D8" s="11">
        <v>42455.272236999997</v>
      </c>
      <c r="E8" s="11">
        <v>41954.563175000003</v>
      </c>
      <c r="F8" s="11">
        <v>6784.9416570000003</v>
      </c>
      <c r="G8" s="11">
        <v>9080.6078429999998</v>
      </c>
      <c r="H8" s="11">
        <v>16578.280994000001</v>
      </c>
      <c r="I8" s="11">
        <v>19215.944447000002</v>
      </c>
      <c r="J8" s="11">
        <v>34773.756442999998</v>
      </c>
      <c r="K8" s="11">
        <v>46631.951829999998</v>
      </c>
      <c r="L8" s="11">
        <v>191.10671500000001</v>
      </c>
      <c r="M8" s="11">
        <v>386.47747199999998</v>
      </c>
      <c r="N8" s="11">
        <v>0</v>
      </c>
      <c r="O8" s="11">
        <v>0</v>
      </c>
      <c r="S8">
        <v>68749.804216000004</v>
      </c>
      <c r="T8">
        <v>75821.517764999997</v>
      </c>
      <c r="U8">
        <v>6101.1296679999996</v>
      </c>
      <c r="V8">
        <v>8543.3226579999991</v>
      </c>
      <c r="W8">
        <v>19704.403243000001</v>
      </c>
      <c r="X8">
        <v>20754.592408</v>
      </c>
      <c r="Y8">
        <v>52127.673414999997</v>
      </c>
      <c r="Z8">
        <v>49196.609099000001</v>
      </c>
      <c r="AA8">
        <v>301.00274999999999</v>
      </c>
      <c r="AB8">
        <v>264.37073400000003</v>
      </c>
      <c r="AC8" t="s">
        <v>43</v>
      </c>
      <c r="AD8" t="s">
        <v>43</v>
      </c>
    </row>
    <row r="9" spans="1:30" x14ac:dyDescent="0.2">
      <c r="A9" t="s">
        <v>10</v>
      </c>
      <c r="B9" s="48" t="s">
        <v>10</v>
      </c>
      <c r="C9" s="51" t="s">
        <v>54</v>
      </c>
      <c r="D9" s="11">
        <v>68749.804216000004</v>
      </c>
      <c r="E9" s="11">
        <v>75821.517764999997</v>
      </c>
      <c r="F9" s="11">
        <v>6101.1296679999996</v>
      </c>
      <c r="G9" s="11">
        <v>8543.3226579999991</v>
      </c>
      <c r="H9" s="11">
        <v>19704.403243000001</v>
      </c>
      <c r="I9" s="11">
        <v>20754.592408</v>
      </c>
      <c r="J9" s="11">
        <v>52127.673414999997</v>
      </c>
      <c r="K9" s="11">
        <v>49196.609099000001</v>
      </c>
      <c r="L9" s="11">
        <v>301.00274999999999</v>
      </c>
      <c r="M9" s="11">
        <v>264.37073400000003</v>
      </c>
      <c r="N9" s="11">
        <v>0</v>
      </c>
      <c r="O9" s="11">
        <v>0</v>
      </c>
      <c r="S9">
        <v>23050.367850999999</v>
      </c>
      <c r="T9">
        <v>27703.031662000001</v>
      </c>
      <c r="U9">
        <v>6443.0354630000002</v>
      </c>
      <c r="V9">
        <v>8323.5244569999995</v>
      </c>
      <c r="W9">
        <v>2218.0846510000001</v>
      </c>
      <c r="X9">
        <v>3072.8385790000002</v>
      </c>
      <c r="Y9">
        <v>15735.699052</v>
      </c>
      <c r="Z9">
        <v>15943.29148</v>
      </c>
      <c r="AA9">
        <v>239.94939199999999</v>
      </c>
      <c r="AB9">
        <v>166.68537900000001</v>
      </c>
      <c r="AC9" t="s">
        <v>43</v>
      </c>
      <c r="AD9" t="s">
        <v>43</v>
      </c>
    </row>
    <row r="10" spans="1:30" x14ac:dyDescent="0.2">
      <c r="A10" t="s">
        <v>11</v>
      </c>
      <c r="B10" s="48" t="s">
        <v>11</v>
      </c>
      <c r="C10" s="52" t="s">
        <v>12</v>
      </c>
      <c r="D10" s="11">
        <v>23050.367850999999</v>
      </c>
      <c r="E10" s="11">
        <v>27703.031662000001</v>
      </c>
      <c r="F10" s="11">
        <v>6443.0354630000002</v>
      </c>
      <c r="G10" s="11">
        <v>8323.5244569999995</v>
      </c>
      <c r="H10" s="11">
        <v>2218.0846510000001</v>
      </c>
      <c r="I10" s="11">
        <v>3072.8385790000002</v>
      </c>
      <c r="J10" s="11">
        <v>15735.699052</v>
      </c>
      <c r="K10" s="11">
        <v>15943.29148</v>
      </c>
      <c r="L10" s="11">
        <v>239.94939199999999</v>
      </c>
      <c r="M10" s="11">
        <v>166.68537900000001</v>
      </c>
      <c r="N10" s="11">
        <v>0</v>
      </c>
      <c r="O10" s="11">
        <v>0</v>
      </c>
      <c r="S10">
        <v>1424.386804</v>
      </c>
      <c r="T10">
        <v>1265.6474920000001</v>
      </c>
      <c r="U10">
        <v>1399.965365</v>
      </c>
      <c r="V10">
        <v>1546.494025</v>
      </c>
      <c r="W10">
        <v>862.69423900000004</v>
      </c>
      <c r="X10">
        <v>1216.8046440000001</v>
      </c>
      <c r="Y10">
        <v>1302.2796330000001</v>
      </c>
      <c r="Z10">
        <v>1461.018965</v>
      </c>
      <c r="AA10">
        <v>191.10671500000001</v>
      </c>
      <c r="AB10">
        <v>191.10671500000001</v>
      </c>
      <c r="AC10" t="s">
        <v>43</v>
      </c>
      <c r="AD10" t="s">
        <v>43</v>
      </c>
    </row>
    <row r="11" spans="1:30" x14ac:dyDescent="0.2">
      <c r="A11" t="s">
        <v>13</v>
      </c>
      <c r="B11" s="48" t="s">
        <v>13</v>
      </c>
      <c r="C11" s="53" t="s">
        <v>14</v>
      </c>
      <c r="D11" s="11">
        <v>1424.386804</v>
      </c>
      <c r="E11" s="11">
        <v>1265.6474920000001</v>
      </c>
      <c r="F11" s="11">
        <v>1399.965365</v>
      </c>
      <c r="G11" s="11">
        <v>1546.494025</v>
      </c>
      <c r="H11" s="11">
        <v>862.69423900000004</v>
      </c>
      <c r="I11" s="11">
        <v>1216.8046440000001</v>
      </c>
      <c r="J11" s="11">
        <v>1302.2796330000001</v>
      </c>
      <c r="K11" s="11">
        <v>1461.018965</v>
      </c>
      <c r="L11" s="11">
        <v>191.10671500000001</v>
      </c>
      <c r="M11" s="11">
        <v>191.10671500000001</v>
      </c>
      <c r="N11" s="11">
        <v>0</v>
      </c>
      <c r="O11" s="11">
        <v>0</v>
      </c>
      <c r="S11">
        <v>11437.347658000001</v>
      </c>
      <c r="T11">
        <v>17054.524031000001</v>
      </c>
      <c r="U11">
        <v>5710.3806750000003</v>
      </c>
      <c r="V11">
        <v>7480.9662099999996</v>
      </c>
      <c r="W11">
        <v>2816.412139</v>
      </c>
      <c r="X11">
        <v>2401.245997</v>
      </c>
      <c r="Y11">
        <v>9691.1603830000004</v>
      </c>
      <c r="Z11">
        <v>9251.5624260000004</v>
      </c>
      <c r="AA11">
        <v>166.68537900000001</v>
      </c>
      <c r="AB11">
        <v>203.31738300000001</v>
      </c>
      <c r="AC11" t="s">
        <v>43</v>
      </c>
      <c r="AD11" t="s">
        <v>43</v>
      </c>
    </row>
    <row r="12" spans="1:30" x14ac:dyDescent="0.2">
      <c r="A12" t="s">
        <v>15</v>
      </c>
      <c r="B12" s="48" t="s">
        <v>15</v>
      </c>
      <c r="C12" s="54" t="s">
        <v>16</v>
      </c>
      <c r="D12" s="11">
        <v>11437.347658000001</v>
      </c>
      <c r="E12" s="11">
        <v>17054.524031000001</v>
      </c>
      <c r="F12" s="11">
        <v>5710.3806750000003</v>
      </c>
      <c r="G12" s="11">
        <v>7480.9662099999996</v>
      </c>
      <c r="H12" s="11">
        <v>2816.412139</v>
      </c>
      <c r="I12" s="11">
        <v>2401.245997</v>
      </c>
      <c r="J12" s="11">
        <v>9691.1603830000004</v>
      </c>
      <c r="K12" s="11">
        <v>9251.5624260000004</v>
      </c>
      <c r="L12" s="11">
        <v>166.68537900000001</v>
      </c>
      <c r="M12" s="11">
        <v>203.31738300000001</v>
      </c>
      <c r="N12" s="11">
        <v>0</v>
      </c>
      <c r="O12" s="11">
        <v>0</v>
      </c>
      <c r="S12">
        <v>349.84544499999998</v>
      </c>
      <c r="T12">
        <v>264.37073400000003</v>
      </c>
      <c r="U12">
        <v>337.634771</v>
      </c>
      <c r="V12">
        <v>227.738722</v>
      </c>
      <c r="W12">
        <v>301.00274999999999</v>
      </c>
      <c r="X12">
        <v>337.634771</v>
      </c>
      <c r="Y12">
        <v>178.89604700000001</v>
      </c>
      <c r="Z12">
        <v>117.842714</v>
      </c>
      <c r="AA12">
        <v>191.10671500000001</v>
      </c>
      <c r="AB12">
        <v>191.10671500000001</v>
      </c>
      <c r="AC12" t="s">
        <v>43</v>
      </c>
      <c r="AD12" t="s">
        <v>43</v>
      </c>
    </row>
    <row r="13" spans="1:30" x14ac:dyDescent="0.2">
      <c r="A13" t="s">
        <v>17</v>
      </c>
      <c r="B13" s="48" t="s">
        <v>17</v>
      </c>
      <c r="C13" s="55" t="s">
        <v>18</v>
      </c>
      <c r="D13" s="11">
        <v>349.84544499999998</v>
      </c>
      <c r="E13" s="11">
        <v>264.37073400000003</v>
      </c>
      <c r="F13" s="11">
        <v>337.634771</v>
      </c>
      <c r="G13" s="11">
        <v>227.738722</v>
      </c>
      <c r="H13" s="11">
        <v>301.00274999999999</v>
      </c>
      <c r="I13" s="11">
        <v>337.634771</v>
      </c>
      <c r="J13" s="11">
        <v>178.89604700000001</v>
      </c>
      <c r="K13" s="11">
        <v>117.842714</v>
      </c>
      <c r="L13" s="11">
        <v>191.10671500000001</v>
      </c>
      <c r="M13" s="11">
        <v>191.10671500000001</v>
      </c>
      <c r="N13" s="11">
        <v>0</v>
      </c>
      <c r="O13" s="11">
        <v>0</v>
      </c>
      <c r="S13">
        <v>12804.998092</v>
      </c>
      <c r="T13">
        <v>11437.347658000001</v>
      </c>
      <c r="U13">
        <v>5075.4146710000005</v>
      </c>
      <c r="V13">
        <v>5808.0678740000003</v>
      </c>
      <c r="W13">
        <v>1925.026734</v>
      </c>
      <c r="X13">
        <v>1815.130091</v>
      </c>
      <c r="Y13">
        <v>6198.8169969999999</v>
      </c>
      <c r="Z13">
        <v>5588.2717210000001</v>
      </c>
      <c r="AA13">
        <v>142.26404600000001</v>
      </c>
      <c r="AB13">
        <v>178.89604700000001</v>
      </c>
      <c r="AC13" t="s">
        <v>43</v>
      </c>
      <c r="AD13" t="s">
        <v>43</v>
      </c>
    </row>
    <row r="14" spans="1:30" x14ac:dyDescent="0.2">
      <c r="A14" t="s">
        <v>19</v>
      </c>
      <c r="B14" s="48" t="s">
        <v>19</v>
      </c>
      <c r="C14" s="56" t="s">
        <v>20</v>
      </c>
      <c r="D14" s="11">
        <v>12804.998092</v>
      </c>
      <c r="E14" s="11">
        <v>11437.347658000001</v>
      </c>
      <c r="F14" s="11">
        <v>5075.4146710000005</v>
      </c>
      <c r="G14" s="11">
        <v>5808.0678740000003</v>
      </c>
      <c r="H14" s="11">
        <v>1925.026734</v>
      </c>
      <c r="I14" s="11">
        <v>1815.130091</v>
      </c>
      <c r="J14" s="11">
        <v>6198.8169969999999</v>
      </c>
      <c r="K14" s="11">
        <v>5588.2717210000001</v>
      </c>
      <c r="L14" s="11">
        <v>142.26404600000001</v>
      </c>
      <c r="M14" s="11">
        <v>178.89604700000001</v>
      </c>
      <c r="N14" s="11">
        <v>0</v>
      </c>
      <c r="O14" s="11">
        <v>0</v>
      </c>
    </row>
    <row r="16" spans="1:30" ht="16" x14ac:dyDescent="0.2">
      <c r="C16" s="1"/>
      <c r="J16" s="13"/>
      <c r="K16"/>
      <c r="L16" s="61" t="s">
        <v>21</v>
      </c>
      <c r="P16" s="14" t="s">
        <v>22</v>
      </c>
      <c r="S16" s="15"/>
      <c r="U16" s="16"/>
    </row>
    <row r="17" spans="2:22" ht="16" x14ac:dyDescent="0.2">
      <c r="D17" s="8" t="s">
        <v>44</v>
      </c>
      <c r="E17" s="8" t="s">
        <v>45</v>
      </c>
      <c r="F17" s="8" t="s">
        <v>46</v>
      </c>
      <c r="G17" s="8" t="s">
        <v>47</v>
      </c>
      <c r="H17" s="8" t="s">
        <v>48</v>
      </c>
      <c r="I17" s="7" t="s">
        <v>5</v>
      </c>
      <c r="J17" s="17" t="s">
        <v>23</v>
      </c>
      <c r="K17" s="1" t="s">
        <v>24</v>
      </c>
      <c r="L17" s="61"/>
      <c r="M17" s="1" t="s">
        <v>25</v>
      </c>
      <c r="P17" s="59" t="s">
        <v>26</v>
      </c>
      <c r="Q17" s="59"/>
      <c r="R17" s="59"/>
      <c r="S17" s="59" t="s">
        <v>27</v>
      </c>
      <c r="T17" s="59"/>
      <c r="U17" s="18" t="s">
        <v>28</v>
      </c>
      <c r="V17" s="18" t="s">
        <v>8</v>
      </c>
    </row>
    <row r="18" spans="2:22" x14ac:dyDescent="0.2">
      <c r="B18" s="48" t="s">
        <v>7</v>
      </c>
      <c r="C18" s="49" t="s">
        <v>8</v>
      </c>
      <c r="D18" s="19">
        <f>AVERAGE(D7:E7)</f>
        <v>62148.478166000001</v>
      </c>
      <c r="E18" s="19">
        <f>AVERAGE(F7:G7)</f>
        <v>7334.4359414999999</v>
      </c>
      <c r="F18" s="19">
        <f>AVERAGE(H7:I7)</f>
        <v>21762.049441000003</v>
      </c>
      <c r="G18" s="19">
        <f>AVERAGE(J7:K7)</f>
        <v>43926.878703000002</v>
      </c>
      <c r="H18" s="19">
        <f>AVERAGE(L7)</f>
        <v>154.47471200000001</v>
      </c>
      <c r="I18" s="19">
        <f>AVERAGE(M7)</f>
        <v>313.21342299999998</v>
      </c>
      <c r="J18" s="19">
        <f>AVERAGE((IF(D18&gt;$U$19,D18,"")),(IF(E18&gt;$U$19,E18,"")),(IF(F18&gt;$U$19,F18,"")),(IF(G18&gt;$U$19,G18,"")))</f>
        <v>33792.960562875</v>
      </c>
      <c r="K18" s="20"/>
      <c r="L18" s="20"/>
      <c r="M18" s="20"/>
      <c r="P18" s="58" t="s">
        <v>29</v>
      </c>
      <c r="Q18" s="58"/>
      <c r="R18" s="58"/>
      <c r="S18" s="62" t="s">
        <v>30</v>
      </c>
      <c r="T18" s="62"/>
      <c r="U18" s="21">
        <f>AVERAGE(M8:M14)</f>
        <v>225.99434928571426</v>
      </c>
      <c r="V18" s="21">
        <f>M7</f>
        <v>313.21342299999998</v>
      </c>
    </row>
    <row r="19" spans="2:22" x14ac:dyDescent="0.2">
      <c r="B19" s="48" t="s">
        <v>9</v>
      </c>
      <c r="C19" s="50" t="s">
        <v>53</v>
      </c>
      <c r="D19" s="19">
        <f t="shared" ref="D19:D20" si="0">AVERAGE(D8:E8)</f>
        <v>42204.917706</v>
      </c>
      <c r="E19" s="19">
        <f t="shared" ref="E19:E20" si="1">AVERAGE(F8:G8)</f>
        <v>7932.7747500000005</v>
      </c>
      <c r="F19" s="19">
        <f t="shared" ref="F19:F20" si="2">AVERAGE(H8:I8)</f>
        <v>17897.112720500001</v>
      </c>
      <c r="G19" s="19">
        <f t="shared" ref="G19:G20" si="3">AVERAGE(J8:K8)</f>
        <v>40702.854136499998</v>
      </c>
      <c r="H19" s="19">
        <f t="shared" ref="H19:I25" si="4">AVERAGE(L8)</f>
        <v>191.10671500000001</v>
      </c>
      <c r="I19" s="19">
        <f t="shared" si="4"/>
        <v>386.47747199999998</v>
      </c>
      <c r="J19" s="19">
        <f t="shared" ref="J19:J25" si="5">AVERAGE((IF(D19&gt;$U$19,D19-$U$19,0)),(IF(E19&gt;$U$19,E19-$U$19,0)),(IF(F19&gt;$U$19,F19-$U$19,0)),(IF(G19&gt;$U$19,G19-$U$19,0)))</f>
        <v>26635.590654712774</v>
      </c>
      <c r="K19" s="31">
        <v>1.125</v>
      </c>
      <c r="L19" s="19">
        <f t="shared" ref="L19:L20" si="6">K19*J19</f>
        <v>29965.039486551872</v>
      </c>
      <c r="M19" s="23">
        <f>L19/$L$21</f>
        <v>0.6516400293383523</v>
      </c>
      <c r="P19" s="58" t="s">
        <v>31</v>
      </c>
      <c r="Q19" s="58"/>
      <c r="R19" s="58"/>
      <c r="S19" s="58" t="s">
        <v>32</v>
      </c>
      <c r="T19" s="58"/>
      <c r="U19" s="21">
        <f>AVERAGE(M7:M14)+(4*M3)</f>
        <v>548.82417353722451</v>
      </c>
      <c r="V19" s="21">
        <f>U19</f>
        <v>548.82417353722451</v>
      </c>
    </row>
    <row r="20" spans="2:22" x14ac:dyDescent="0.2">
      <c r="B20" s="48" t="s">
        <v>10</v>
      </c>
      <c r="C20" s="51" t="s">
        <v>54</v>
      </c>
      <c r="D20" s="19">
        <f t="shared" si="0"/>
        <v>72285.660990500008</v>
      </c>
      <c r="E20" s="19">
        <f t="shared" si="1"/>
        <v>7322.2261629999994</v>
      </c>
      <c r="F20" s="19">
        <f t="shared" si="2"/>
        <v>20229.497825500002</v>
      </c>
      <c r="G20" s="19">
        <f t="shared" si="3"/>
        <v>50662.141256999996</v>
      </c>
      <c r="H20" s="19">
        <f t="shared" si="4"/>
        <v>301.00274999999999</v>
      </c>
      <c r="I20" s="19">
        <f t="shared" si="4"/>
        <v>264.37073400000003</v>
      </c>
      <c r="J20" s="19">
        <f t="shared" si="5"/>
        <v>37076.057385462773</v>
      </c>
      <c r="K20" s="31">
        <v>1.125</v>
      </c>
      <c r="L20" s="19">
        <f t="shared" si="6"/>
        <v>41710.564558645623</v>
      </c>
      <c r="M20" s="23">
        <f t="shared" ref="M20" si="7">L20/$L$21</f>
        <v>0.90706616705489118</v>
      </c>
      <c r="P20" s="58" t="s">
        <v>52</v>
      </c>
      <c r="Q20" s="58"/>
      <c r="R20" s="58"/>
      <c r="S20" s="58" t="s">
        <v>33</v>
      </c>
      <c r="T20" s="58"/>
      <c r="U20" s="24">
        <f>ROUNDUP((COUNTIF(D8:K9,"&gt;"&amp;U19)/4),0)</f>
        <v>4</v>
      </c>
      <c r="V20" s="24">
        <f>ROUNDUP((COUNTIF(D7:K7,"&gt;"&amp;V19)/2),0)</f>
        <v>4</v>
      </c>
    </row>
    <row r="21" spans="2:22" x14ac:dyDescent="0.2">
      <c r="B21" s="48" t="s">
        <v>11</v>
      </c>
      <c r="C21" s="52" t="s">
        <v>12</v>
      </c>
      <c r="D21" s="19">
        <f>AVERAGE(D10:E10)</f>
        <v>25376.699756499998</v>
      </c>
      <c r="E21" s="19">
        <f>AVERAGE(F10:G10)</f>
        <v>7383.2799599999998</v>
      </c>
      <c r="F21" s="19">
        <f>AVERAGE(H10:I10)</f>
        <v>2645.4616150000002</v>
      </c>
      <c r="G21" s="19">
        <f>AVERAGE(J10:K10)</f>
        <v>15839.495266</v>
      </c>
      <c r="H21" s="19">
        <f t="shared" si="4"/>
        <v>239.94939199999999</v>
      </c>
      <c r="I21" s="19">
        <f t="shared" si="4"/>
        <v>166.68537900000001</v>
      </c>
      <c r="J21" s="19">
        <f t="shared" si="5"/>
        <v>12262.409975837776</v>
      </c>
      <c r="K21" s="22">
        <v>3.75</v>
      </c>
      <c r="L21" s="19">
        <f>K21*J21</f>
        <v>45984.037409391662</v>
      </c>
      <c r="M21" s="23">
        <f>L21/$L$21</f>
        <v>1</v>
      </c>
      <c r="P21" s="58" t="s">
        <v>51</v>
      </c>
      <c r="Q21" s="58"/>
      <c r="R21" s="58"/>
      <c r="S21" s="58" t="s">
        <v>34</v>
      </c>
      <c r="T21" s="58"/>
      <c r="U21" s="25">
        <f>(COUNTIF(L9,"&lt;"&amp;U19)+COUNTIF(L8,"&lt;"&amp;U19))/2</f>
        <v>1</v>
      </c>
      <c r="V21" s="25">
        <f>(COUNTIF(L7,"&lt;"&amp;V19))</f>
        <v>1</v>
      </c>
    </row>
    <row r="22" spans="2:22" x14ac:dyDescent="0.2">
      <c r="B22" s="48" t="s">
        <v>13</v>
      </c>
      <c r="C22" s="53" t="s">
        <v>14</v>
      </c>
      <c r="D22" s="19">
        <f>AVERAGE(D11:E11)</f>
        <v>1345.0171479999999</v>
      </c>
      <c r="E22" s="19">
        <f>AVERAGE(F11:G11)</f>
        <v>1473.229695</v>
      </c>
      <c r="F22" s="19">
        <f>AVERAGE(H11:I11)</f>
        <v>1039.7494415000001</v>
      </c>
      <c r="G22" s="19">
        <f>AVERAGE(J11:K11)</f>
        <v>1381.6492990000002</v>
      </c>
      <c r="H22" s="19">
        <f t="shared" si="4"/>
        <v>191.10671500000001</v>
      </c>
      <c r="I22" s="19">
        <f t="shared" si="4"/>
        <v>191.10671500000001</v>
      </c>
      <c r="J22" s="19">
        <f t="shared" si="5"/>
        <v>761.08722233777553</v>
      </c>
      <c r="K22" s="26">
        <f>K21*2</f>
        <v>7.5</v>
      </c>
      <c r="L22" s="19">
        <f>K22*J22</f>
        <v>5708.1541675333165</v>
      </c>
      <c r="M22" s="23">
        <f>L22/$L$21</f>
        <v>0.12413338386784406</v>
      </c>
      <c r="P22" s="27"/>
      <c r="S22" s="27"/>
      <c r="U22" s="28"/>
    </row>
    <row r="23" spans="2:22" ht="16" x14ac:dyDescent="0.2">
      <c r="B23" s="48" t="s">
        <v>15</v>
      </c>
      <c r="C23" s="54" t="s">
        <v>16</v>
      </c>
      <c r="D23" s="19">
        <f>AVERAGE(D12:E12)</f>
        <v>14245.9358445</v>
      </c>
      <c r="E23" s="19">
        <f>AVERAGE(F12:G12)</f>
        <v>6595.6734424999995</v>
      </c>
      <c r="F23" s="19">
        <f>AVERAGE(H12:I12)</f>
        <v>2608.829068</v>
      </c>
      <c r="G23" s="19">
        <f>AVERAGE(J12:K12)</f>
        <v>9471.3614044999995</v>
      </c>
      <c r="H23" s="19">
        <f t="shared" si="4"/>
        <v>166.68537900000001</v>
      </c>
      <c r="I23" s="19">
        <f t="shared" si="4"/>
        <v>203.31738300000001</v>
      </c>
      <c r="J23" s="19">
        <f t="shared" si="5"/>
        <v>7681.6257663377746</v>
      </c>
      <c r="K23" s="26">
        <f>K22</f>
        <v>7.5</v>
      </c>
      <c r="L23" s="19">
        <f>K23*J23</f>
        <v>57612.193247533309</v>
      </c>
      <c r="M23" s="23">
        <f>L23/$L$21</f>
        <v>1.2528737469182456</v>
      </c>
      <c r="P23" s="29" t="s">
        <v>35</v>
      </c>
      <c r="S23" s="27"/>
      <c r="U23" s="30"/>
    </row>
    <row r="24" spans="2:22" ht="16" x14ac:dyDescent="0.2">
      <c r="B24" s="48" t="s">
        <v>17</v>
      </c>
      <c r="C24" s="55" t="s">
        <v>18</v>
      </c>
      <c r="D24" s="19">
        <f>AVERAGE(D13:E13)</f>
        <v>307.10808950000001</v>
      </c>
      <c r="E24" s="19">
        <f>AVERAGE(F13:G13)</f>
        <v>282.68674650000003</v>
      </c>
      <c r="F24" s="19">
        <f>AVERAGE(H13:I13)</f>
        <v>319.3187605</v>
      </c>
      <c r="G24" s="19">
        <f>AVERAGE(J13:K13)</f>
        <v>148.36938050000001</v>
      </c>
      <c r="H24" s="19">
        <f t="shared" si="4"/>
        <v>191.10671500000001</v>
      </c>
      <c r="I24" s="19">
        <f t="shared" si="4"/>
        <v>191.10671500000001</v>
      </c>
      <c r="J24" s="19">
        <f t="shared" si="5"/>
        <v>0</v>
      </c>
      <c r="K24" s="31">
        <f>K19</f>
        <v>1.125</v>
      </c>
      <c r="L24" s="19">
        <f>K24*J24</f>
        <v>0</v>
      </c>
      <c r="M24" s="23">
        <f>L24/$L$21</f>
        <v>0</v>
      </c>
      <c r="P24" s="59" t="s">
        <v>36</v>
      </c>
      <c r="Q24" s="59"/>
      <c r="R24" s="59" t="s">
        <v>27</v>
      </c>
      <c r="S24" s="59"/>
      <c r="T24" s="59"/>
      <c r="U24" s="32" t="s">
        <v>28</v>
      </c>
      <c r="V24" s="32" t="s">
        <v>37</v>
      </c>
    </row>
    <row r="25" spans="2:22" x14ac:dyDescent="0.2">
      <c r="B25" s="48" t="s">
        <v>19</v>
      </c>
      <c r="C25" s="56" t="s">
        <v>20</v>
      </c>
      <c r="D25" s="19">
        <f>AVERAGE(D14:E14)</f>
        <v>12121.172875</v>
      </c>
      <c r="E25" s="19">
        <f>AVERAGE(F14:G14)</f>
        <v>5441.7412725000004</v>
      </c>
      <c r="F25" s="19">
        <f>AVERAGE(H14:I14)</f>
        <v>1870.0784125</v>
      </c>
      <c r="G25" s="19">
        <f>AVERAGE(J14:K14)</f>
        <v>5893.5443589999995</v>
      </c>
      <c r="H25" s="19">
        <f t="shared" si="4"/>
        <v>142.26404600000001</v>
      </c>
      <c r="I25" s="19">
        <f t="shared" si="4"/>
        <v>178.89604700000001</v>
      </c>
      <c r="J25" s="19">
        <f t="shared" si="5"/>
        <v>5782.8100562127747</v>
      </c>
      <c r="K25" s="22">
        <f>K19*2</f>
        <v>2.25</v>
      </c>
      <c r="L25" s="19">
        <f>K25*J25</f>
        <v>13011.322626478743</v>
      </c>
      <c r="M25" s="23">
        <f>L25/$L$21</f>
        <v>0.28295302803971151</v>
      </c>
      <c r="P25" s="57" t="s">
        <v>44</v>
      </c>
      <c r="Q25" s="57"/>
      <c r="R25" s="33">
        <v>0.9</v>
      </c>
      <c r="S25" s="34" t="s">
        <v>38</v>
      </c>
      <c r="T25" s="35">
        <v>1.25</v>
      </c>
      <c r="U25" s="36">
        <f>D26</f>
        <v>1.0501603291519275</v>
      </c>
      <c r="V25" s="37" t="str">
        <f>IF(U25&gt;R25,"pass","fail")</f>
        <v>pass</v>
      </c>
    </row>
    <row r="26" spans="2:22" x14ac:dyDescent="0.2">
      <c r="B26" s="12"/>
      <c r="C26" s="38" t="s">
        <v>49</v>
      </c>
      <c r="D26" s="39">
        <f>LOG(D19)/LOG(D21)</f>
        <v>1.0501603291519275</v>
      </c>
      <c r="E26" s="39">
        <f>LOG(E19)/LOG(E21)</f>
        <v>1.0080594045682159</v>
      </c>
      <c r="F26" s="39">
        <f>LOG(F19)/LOG(F21)</f>
        <v>1.2425949316973373</v>
      </c>
      <c r="G26" s="39">
        <f>LOG(G19)/LOG(G21)</f>
        <v>1.0975973261449989</v>
      </c>
      <c r="H26" s="7"/>
      <c r="I26" s="7"/>
      <c r="J26" s="7"/>
      <c r="K26"/>
      <c r="L26" t="s">
        <v>39</v>
      </c>
      <c r="M26" s="12">
        <f>SUM(M23:M25,M19)</f>
        <v>2.1874668042963092</v>
      </c>
      <c r="P26" s="57" t="s">
        <v>45</v>
      </c>
      <c r="Q26" s="57"/>
      <c r="R26" s="33">
        <v>0.95</v>
      </c>
      <c r="S26" s="34" t="s">
        <v>38</v>
      </c>
      <c r="T26" s="35">
        <v>1.25</v>
      </c>
      <c r="U26" s="36">
        <f>E26</f>
        <v>1.0080594045682159</v>
      </c>
      <c r="V26" s="37" t="str">
        <f t="shared" ref="V26:V28" si="8">IF(U26&gt;R26,"pass","fail")</f>
        <v>pass</v>
      </c>
    </row>
    <row r="27" spans="2:22" x14ac:dyDescent="0.2">
      <c r="H27" s="2"/>
      <c r="I27" s="2"/>
      <c r="J27" s="2"/>
      <c r="K27"/>
      <c r="P27" s="57" t="s">
        <v>46</v>
      </c>
      <c r="Q27" s="57"/>
      <c r="R27" s="33">
        <v>0.95</v>
      </c>
      <c r="S27" s="34" t="s">
        <v>38</v>
      </c>
      <c r="T27" s="35">
        <v>1.5</v>
      </c>
      <c r="U27" s="36">
        <f>F26</f>
        <v>1.2425949316973373</v>
      </c>
      <c r="V27" s="37" t="str">
        <f t="shared" si="8"/>
        <v>pass</v>
      </c>
    </row>
    <row r="28" spans="2:22" x14ac:dyDescent="0.2">
      <c r="B28" s="1" t="s">
        <v>40</v>
      </c>
      <c r="D28" s="8" t="s">
        <v>44</v>
      </c>
      <c r="E28" s="8" t="s">
        <v>45</v>
      </c>
      <c r="F28" s="8" t="s">
        <v>46</v>
      </c>
      <c r="G28" s="8" t="s">
        <v>47</v>
      </c>
      <c r="K28" s="8" t="s">
        <v>44</v>
      </c>
      <c r="L28" s="8" t="s">
        <v>45</v>
      </c>
      <c r="M28" s="8" t="s">
        <v>46</v>
      </c>
      <c r="N28" s="8" t="s">
        <v>47</v>
      </c>
      <c r="P28" s="57" t="s">
        <v>47</v>
      </c>
      <c r="Q28" s="57"/>
      <c r="R28" s="33">
        <v>0.95</v>
      </c>
      <c r="S28" s="34" t="s">
        <v>38</v>
      </c>
      <c r="T28" s="35">
        <v>1.5</v>
      </c>
      <c r="U28" s="36">
        <f>G26</f>
        <v>1.0975973261449989</v>
      </c>
      <c r="V28" s="37" t="str">
        <f t="shared" si="8"/>
        <v>pass</v>
      </c>
    </row>
    <row r="29" spans="2:22" x14ac:dyDescent="0.2">
      <c r="B29" s="48" t="s">
        <v>7</v>
      </c>
      <c r="C29" s="49" t="s">
        <v>8</v>
      </c>
      <c r="D29" s="2">
        <f>STDEV(D7:E7)</f>
        <v>2979.4437941391975</v>
      </c>
      <c r="E29" s="2">
        <f>STDEV(F7:G7)</f>
        <v>1260.6306462005666</v>
      </c>
      <c r="F29" s="2">
        <f>STDEV(H7:I7)</f>
        <v>2322.7829596597958</v>
      </c>
      <c r="G29" s="2">
        <f>STDEV(J7:K7)</f>
        <v>2512.9400795991178</v>
      </c>
      <c r="I29" s="48" t="s">
        <v>7</v>
      </c>
      <c r="J29" s="49" t="s">
        <v>8</v>
      </c>
      <c r="K29" s="40">
        <f>D29/D18</f>
        <v>4.7940736154166726E-2</v>
      </c>
      <c r="L29" s="40">
        <f>E29/E18</f>
        <v>0.17187833614683518</v>
      </c>
      <c r="M29" s="40">
        <f>F29/F18</f>
        <v>0.10673548766430245</v>
      </c>
      <c r="N29" s="40">
        <f>G29/G18</f>
        <v>5.7207344427763672E-2</v>
      </c>
      <c r="P29" s="27"/>
      <c r="U29" s="28"/>
    </row>
    <row r="30" spans="2:22" x14ac:dyDescent="0.2">
      <c r="B30" s="48" t="s">
        <v>9</v>
      </c>
      <c r="C30" s="50" t="s">
        <v>53</v>
      </c>
      <c r="D30" s="2">
        <f t="shared" ref="D30:D36" si="9">STDEV(D8:E8)</f>
        <v>354.05477314175153</v>
      </c>
      <c r="E30" s="2">
        <f t="shared" ref="E30:E36" si="10">STDEV(F8:G8)</f>
        <v>1623.2811274612498</v>
      </c>
      <c r="F30" s="2">
        <f t="shared" ref="F30:F36" si="11">STDEV(H8:I8)</f>
        <v>1865.1097141042251</v>
      </c>
      <c r="G30" s="2">
        <f t="shared" ref="G30:G36" si="12">STDEV(J8:K8)</f>
        <v>8385.0103707827184</v>
      </c>
      <c r="I30" s="48" t="s">
        <v>9</v>
      </c>
      <c r="J30" s="50" t="s">
        <v>53</v>
      </c>
      <c r="K30" s="40">
        <f t="shared" ref="K30:N36" si="13">D30/D19</f>
        <v>8.3889459424634268E-3</v>
      </c>
      <c r="L30" s="40">
        <f t="shared" si="13"/>
        <v>0.20462967607409371</v>
      </c>
      <c r="M30" s="40">
        <f t="shared" si="13"/>
        <v>0.10421288300698139</v>
      </c>
      <c r="N30" s="40">
        <f t="shared" si="13"/>
        <v>0.20600546444883136</v>
      </c>
    </row>
    <row r="31" spans="2:22" x14ac:dyDescent="0.2">
      <c r="B31" s="48" t="s">
        <v>10</v>
      </c>
      <c r="C31" s="51" t="s">
        <v>54</v>
      </c>
      <c r="D31" s="2">
        <f t="shared" si="9"/>
        <v>5000.4566051066813</v>
      </c>
      <c r="E31" s="2">
        <f t="shared" si="10"/>
        <v>1726.8912241952526</v>
      </c>
      <c r="F31" s="2">
        <f t="shared" si="11"/>
        <v>742.59588010013783</v>
      </c>
      <c r="G31" s="2">
        <f t="shared" si="12"/>
        <v>2072.5754539375071</v>
      </c>
      <c r="I31" s="48" t="s">
        <v>10</v>
      </c>
      <c r="J31" s="51" t="s">
        <v>54</v>
      </c>
      <c r="K31" s="40">
        <f t="shared" si="13"/>
        <v>6.9176328148453342E-2</v>
      </c>
      <c r="L31" s="40">
        <f t="shared" si="13"/>
        <v>0.23584237713407716</v>
      </c>
      <c r="M31" s="40">
        <f t="shared" si="13"/>
        <v>3.6708567187667372E-2</v>
      </c>
      <c r="N31" s="40">
        <f t="shared" si="13"/>
        <v>4.0909748433720985E-2</v>
      </c>
    </row>
    <row r="32" spans="2:22" x14ac:dyDescent="0.2">
      <c r="B32" s="48" t="s">
        <v>11</v>
      </c>
      <c r="C32" s="52" t="s">
        <v>12</v>
      </c>
      <c r="D32" s="2">
        <f t="shared" si="9"/>
        <v>3289.9301313393471</v>
      </c>
      <c r="E32" s="2">
        <f t="shared" si="10"/>
        <v>1329.7065196040692</v>
      </c>
      <c r="F32" s="2">
        <f t="shared" si="11"/>
        <v>604.40229873463613</v>
      </c>
      <c r="G32" s="2">
        <f t="shared" si="12"/>
        <v>146.79001356178009</v>
      </c>
      <c r="I32" s="48" t="s">
        <v>11</v>
      </c>
      <c r="J32" s="52" t="s">
        <v>12</v>
      </c>
      <c r="K32" s="40">
        <f t="shared" si="13"/>
        <v>0.12964373472151999</v>
      </c>
      <c r="L32" s="40">
        <f t="shared" si="13"/>
        <v>0.18009699304481869</v>
      </c>
      <c r="M32" s="40">
        <f t="shared" si="13"/>
        <v>0.22846761234698018</v>
      </c>
      <c r="N32" s="40">
        <f t="shared" si="13"/>
        <v>9.2673416101123948E-3</v>
      </c>
    </row>
    <row r="33" spans="1:14" x14ac:dyDescent="0.2">
      <c r="B33" s="48" t="s">
        <v>13</v>
      </c>
      <c r="C33" s="53" t="s">
        <v>14</v>
      </c>
      <c r="D33" s="2">
        <f t="shared" si="9"/>
        <v>112.24564395608705</v>
      </c>
      <c r="E33" s="2">
        <f t="shared" si="10"/>
        <v>103.61140912417798</v>
      </c>
      <c r="F33" s="2">
        <f t="shared" si="11"/>
        <v>250.39386866421444</v>
      </c>
      <c r="G33" s="2">
        <f t="shared" si="12"/>
        <v>112.24565809822263</v>
      </c>
      <c r="I33" s="48" t="s">
        <v>13</v>
      </c>
      <c r="J33" s="53" t="s">
        <v>14</v>
      </c>
      <c r="K33" s="40">
        <f t="shared" si="13"/>
        <v>8.3452946397741437E-2</v>
      </c>
      <c r="L33" s="40">
        <f t="shared" si="13"/>
        <v>7.0329432997329036E-2</v>
      </c>
      <c r="M33" s="40">
        <f t="shared" si="13"/>
        <v>0.24082135432838742</v>
      </c>
      <c r="N33" s="40">
        <f t="shared" si="13"/>
        <v>8.1240339483733645E-2</v>
      </c>
    </row>
    <row r="34" spans="1:14" x14ac:dyDescent="0.2">
      <c r="B34" s="48" t="s">
        <v>15</v>
      </c>
      <c r="C34" s="54" t="s">
        <v>16</v>
      </c>
      <c r="D34" s="2">
        <f t="shared" si="9"/>
        <v>3971.9435044691627</v>
      </c>
      <c r="E34" s="2">
        <f t="shared" si="10"/>
        <v>1251.9930384693109</v>
      </c>
      <c r="F34" s="2">
        <f t="shared" si="11"/>
        <v>293.56679432725713</v>
      </c>
      <c r="G34" s="2">
        <f t="shared" si="12"/>
        <v>310.84269639045232</v>
      </c>
      <c r="I34" s="48" t="s">
        <v>15</v>
      </c>
      <c r="J34" s="54" t="s">
        <v>16</v>
      </c>
      <c r="K34" s="40">
        <f t="shared" si="13"/>
        <v>0.27881239588781603</v>
      </c>
      <c r="L34" s="40">
        <f t="shared" si="13"/>
        <v>0.18982034956460186</v>
      </c>
      <c r="M34" s="40">
        <f t="shared" si="13"/>
        <v>0.11252818282660178</v>
      </c>
      <c r="N34" s="40">
        <f t="shared" si="13"/>
        <v>3.2819220291051915E-2</v>
      </c>
    </row>
    <row r="35" spans="1:14" x14ac:dyDescent="0.2">
      <c r="B35" s="48" t="s">
        <v>17</v>
      </c>
      <c r="C35" s="55" t="s">
        <v>18</v>
      </c>
      <c r="D35" s="2">
        <f t="shared" si="9"/>
        <v>60.439747768060286</v>
      </c>
      <c r="E35" s="2">
        <f t="shared" si="10"/>
        <v>77.70824147350892</v>
      </c>
      <c r="F35" s="2">
        <f t="shared" si="11"/>
        <v>25.90275045766802</v>
      </c>
      <c r="G35" s="2">
        <f t="shared" si="12"/>
        <v>43.171225778340393</v>
      </c>
      <c r="I35" s="48" t="s">
        <v>17</v>
      </c>
      <c r="J35" s="55" t="s">
        <v>18</v>
      </c>
      <c r="K35" s="40">
        <f t="shared" si="13"/>
        <v>0.19680285161638597</v>
      </c>
      <c r="L35" s="40">
        <f t="shared" si="13"/>
        <v>0.27489170410579866</v>
      </c>
      <c r="M35" s="40">
        <f t="shared" si="13"/>
        <v>8.1118786810736171E-2</v>
      </c>
      <c r="N35" s="40">
        <f t="shared" si="13"/>
        <v>0.29097126127274214</v>
      </c>
    </row>
    <row r="36" spans="1:14" x14ac:dyDescent="0.2">
      <c r="B36" s="48" t="s">
        <v>19</v>
      </c>
      <c r="C36" s="56" t="s">
        <v>20</v>
      </c>
      <c r="D36" s="2">
        <f t="shared" si="9"/>
        <v>967.07489617412421</v>
      </c>
      <c r="E36" s="2">
        <f t="shared" si="10"/>
        <v>518.06404809934406</v>
      </c>
      <c r="F36" s="2">
        <f t="shared" si="11"/>
        <v>77.708661494937161</v>
      </c>
      <c r="G36" s="2">
        <f t="shared" si="12"/>
        <v>431.72070488101218</v>
      </c>
      <c r="I36" s="48" t="s">
        <v>19</v>
      </c>
      <c r="J36" s="56" t="s">
        <v>20</v>
      </c>
      <c r="K36" s="40">
        <f t="shared" si="13"/>
        <v>7.9783937259794602E-2</v>
      </c>
      <c r="L36" s="40">
        <f t="shared" si="13"/>
        <v>9.5201888909602517E-2</v>
      </c>
      <c r="M36" s="40">
        <f t="shared" si="13"/>
        <v>4.1553691532673721E-2</v>
      </c>
      <c r="N36" s="40">
        <f t="shared" si="13"/>
        <v>7.3253152701181226E-2</v>
      </c>
    </row>
    <row r="37" spans="1:14" x14ac:dyDescent="0.2">
      <c r="K37"/>
    </row>
    <row r="38" spans="1:14" x14ac:dyDescent="0.2">
      <c r="D38" s="1" t="s">
        <v>41</v>
      </c>
      <c r="K38"/>
    </row>
    <row r="39" spans="1:14" x14ac:dyDescent="0.2">
      <c r="D39" s="8" t="s">
        <v>44</v>
      </c>
      <c r="E39" s="8" t="s">
        <v>45</v>
      </c>
      <c r="F39" s="8" t="s">
        <v>46</v>
      </c>
      <c r="G39" s="8" t="s">
        <v>47</v>
      </c>
      <c r="K39"/>
    </row>
    <row r="40" spans="1:14" x14ac:dyDescent="0.2">
      <c r="C40" s="41" t="s">
        <v>12</v>
      </c>
      <c r="D40" s="23">
        <f t="shared" ref="D40:G44" si="14">(D21*$K21)/(D$21*$K$21)</f>
        <v>1</v>
      </c>
      <c r="E40" s="23">
        <f t="shared" si="14"/>
        <v>1</v>
      </c>
      <c r="F40" s="23">
        <f t="shared" si="14"/>
        <v>1</v>
      </c>
      <c r="G40" s="23">
        <f t="shared" si="14"/>
        <v>1</v>
      </c>
      <c r="K40"/>
    </row>
    <row r="41" spans="1:14" ht="16" thickBot="1" x14ac:dyDescent="0.25">
      <c r="C41" s="42" t="s">
        <v>14</v>
      </c>
      <c r="D41" s="43">
        <f t="shared" si="14"/>
        <v>0.10600410304775638</v>
      </c>
      <c r="E41" s="43">
        <f t="shared" si="14"/>
        <v>0.39907187672184652</v>
      </c>
      <c r="F41" s="43">
        <f t="shared" si="14"/>
        <v>0.78606276923810137</v>
      </c>
      <c r="G41" s="43">
        <f t="shared" si="14"/>
        <v>0.17445622802965902</v>
      </c>
      <c r="K41"/>
    </row>
    <row r="42" spans="1:14" x14ac:dyDescent="0.2">
      <c r="C42" s="44" t="s">
        <v>16</v>
      </c>
      <c r="D42" s="45">
        <f t="shared" si="14"/>
        <v>1.1227571734067618</v>
      </c>
      <c r="E42" s="45">
        <f t="shared" si="14"/>
        <v>1.7866513198017753</v>
      </c>
      <c r="F42" s="45">
        <f t="shared" si="14"/>
        <v>1.9723053649372266</v>
      </c>
      <c r="G42" s="45">
        <f t="shared" si="14"/>
        <v>1.1959170725383643</v>
      </c>
      <c r="K42"/>
    </row>
    <row r="43" spans="1:14" x14ac:dyDescent="0.2">
      <c r="C43" s="46" t="s">
        <v>18</v>
      </c>
      <c r="D43" s="23">
        <f t="shared" si="14"/>
        <v>3.6305913587680433E-3</v>
      </c>
      <c r="E43" s="23">
        <f t="shared" si="14"/>
        <v>1.1486226231356396E-2</v>
      </c>
      <c r="F43" s="23">
        <f t="shared" si="14"/>
        <v>3.6211309061084218E-2</v>
      </c>
      <c r="G43" s="23">
        <f t="shared" si="14"/>
        <v>2.8101156888214701E-3</v>
      </c>
    </row>
    <row r="44" spans="1:14" x14ac:dyDescent="0.2">
      <c r="A44" s="13"/>
      <c r="C44" s="47" t="s">
        <v>20</v>
      </c>
      <c r="D44" s="23">
        <f t="shared" si="14"/>
        <v>0.28658981643730752</v>
      </c>
      <c r="E44" s="23">
        <f t="shared" si="14"/>
        <v>0.44222144916471517</v>
      </c>
      <c r="F44" s="23">
        <f t="shared" si="14"/>
        <v>0.42414036217267126</v>
      </c>
      <c r="G44" s="23">
        <f t="shared" si="14"/>
        <v>0.22324743030104074</v>
      </c>
      <c r="K44"/>
    </row>
    <row r="45" spans="1:14" x14ac:dyDescent="0.2">
      <c r="C45" s="51" t="s">
        <v>54</v>
      </c>
      <c r="D45" s="23">
        <f>(D19*$K19)/(D$21*$K$21)</f>
        <v>0.4989409747245358</v>
      </c>
      <c r="E45" s="23">
        <f>(E19*$K19)/(E$21*$K$21)</f>
        <v>0.32232726347816831</v>
      </c>
      <c r="F45" s="23">
        <f>(F19*$K19)/(F$21*$K$21)</f>
        <v>2.0295640600893772</v>
      </c>
      <c r="G45" s="23">
        <f>(G19*$K19)/(G$21*$K$21)</f>
        <v>0.77091195368838594</v>
      </c>
      <c r="K45"/>
    </row>
    <row r="46" spans="1:14" x14ac:dyDescent="0.2">
      <c r="D46" s="12">
        <f>SUM(D42:D45)</f>
        <v>1.911918555927373</v>
      </c>
      <c r="E46" s="12">
        <f t="shared" ref="E46:G46" si="15">SUM(E42:E45)</f>
        <v>2.5626862586760151</v>
      </c>
      <c r="F46" s="12">
        <f t="shared" si="15"/>
        <v>4.4622210962603592</v>
      </c>
      <c r="G46" s="12">
        <f t="shared" si="15"/>
        <v>2.1928865722166124</v>
      </c>
      <c r="K46"/>
    </row>
    <row r="47" spans="1:14" x14ac:dyDescent="0.2">
      <c r="K47"/>
    </row>
    <row r="48" spans="1:14" x14ac:dyDescent="0.2">
      <c r="K48"/>
    </row>
    <row r="49" spans="1:11" x14ac:dyDescent="0.2">
      <c r="K49"/>
    </row>
    <row r="50" spans="1:11" x14ac:dyDescent="0.2">
      <c r="K50"/>
    </row>
    <row r="51" spans="1:11" x14ac:dyDescent="0.2">
      <c r="K51"/>
    </row>
    <row r="52" spans="1:11" x14ac:dyDescent="0.2">
      <c r="K52"/>
    </row>
    <row r="53" spans="1:11" x14ac:dyDescent="0.2">
      <c r="K53"/>
    </row>
    <row r="54" spans="1:11" x14ac:dyDescent="0.2">
      <c r="K54"/>
    </row>
    <row r="55" spans="1:11" x14ac:dyDescent="0.2">
      <c r="A55" s="13"/>
      <c r="K55"/>
    </row>
  </sheetData>
  <mergeCells count="21">
    <mergeCell ref="P20:R20"/>
    <mergeCell ref="S20:T20"/>
    <mergeCell ref="D5:E5"/>
    <mergeCell ref="F5:G5"/>
    <mergeCell ref="H5:I5"/>
    <mergeCell ref="J5:K5"/>
    <mergeCell ref="L16:L17"/>
    <mergeCell ref="P17:R17"/>
    <mergeCell ref="S17:T17"/>
    <mergeCell ref="P18:R18"/>
    <mergeCell ref="S18:T18"/>
    <mergeCell ref="P19:R19"/>
    <mergeCell ref="S19:T19"/>
    <mergeCell ref="P27:Q27"/>
    <mergeCell ref="P28:Q28"/>
    <mergeCell ref="P21:R21"/>
    <mergeCell ref="S21:T21"/>
    <mergeCell ref="P24:Q24"/>
    <mergeCell ref="R24:T24"/>
    <mergeCell ref="P25:Q25"/>
    <mergeCell ref="P26:Q26"/>
  </mergeCells>
  <conditionalFormatting sqref="D7:O14">
    <cfRule type="cellIs" dxfId="3" priority="4" operator="lessThanOrEqual">
      <formula>$U$19</formula>
    </cfRule>
  </conditionalFormatting>
  <conditionalFormatting sqref="U20:V20">
    <cfRule type="cellIs" dxfId="2" priority="3" operator="lessThan">
      <formula>4</formula>
    </cfRule>
  </conditionalFormatting>
  <conditionalFormatting sqref="U21:V21">
    <cfRule type="cellIs" dxfId="1" priority="2" operator="lessThan">
      <formula>1</formula>
    </cfRule>
  </conditionalFormatting>
  <conditionalFormatting sqref="V25:V28">
    <cfRule type="cellIs" dxfId="0" priority="1" operator="equal">
      <formula>"fail"</formula>
    </cfRule>
  </conditionalFormatting>
  <pageMargins left="0.7" right="0.7" top="0.75" bottom="0.75" header="0.3" footer="0.3"/>
  <pageSetup scale="4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RL3</vt:lpstr>
    </vt:vector>
  </TitlesOfParts>
  <Company>F. Hoffmann-La Roche,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Segraves, Erika {DMDA~Los Gatos}</dc:creator>
  <cp:lastModifiedBy>Microsoft Office User</cp:lastModifiedBy>
  <cp:lastPrinted>2017-08-18T22:19:36Z</cp:lastPrinted>
  <dcterms:created xsi:type="dcterms:W3CDTF">2017-08-18T01:14:12Z</dcterms:created>
  <dcterms:modified xsi:type="dcterms:W3CDTF">2017-10-11T21:08:15Z</dcterms:modified>
</cp:coreProperties>
</file>