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rachaelvaldez/Desktop/Portfolio files/"/>
    </mc:Choice>
  </mc:AlternateContent>
  <bookViews>
    <workbookView xWindow="240" yWindow="460" windowWidth="25260" windowHeight="14980"/>
  </bookViews>
  <sheets>
    <sheet name="Results RL3 (2)" sheetId="5" r:id="rId1"/>
    <sheet name="Results PNZ17A 100mL reserv" sheetId="2" r:id="rId2"/>
    <sheet name="Results PNZ17A 250mL reserv" sheetId="3" r:id="rId3"/>
    <sheet name="Results PNZ17A 500mL reserv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5" l="1"/>
  <c r="D26" i="5"/>
  <c r="M1" i="5"/>
  <c r="M2" i="5"/>
  <c r="M3" i="5"/>
  <c r="D18" i="5"/>
  <c r="E18" i="5"/>
  <c r="F18" i="5"/>
  <c r="G18" i="5"/>
  <c r="H18" i="5"/>
  <c r="I18" i="5"/>
  <c r="U19" i="5"/>
  <c r="J18" i="5"/>
  <c r="U18" i="5"/>
  <c r="V18" i="5"/>
  <c r="D19" i="5"/>
  <c r="E19" i="5"/>
  <c r="F19" i="5"/>
  <c r="G19" i="5"/>
  <c r="H19" i="5"/>
  <c r="I19" i="5"/>
  <c r="J19" i="5"/>
  <c r="L19" i="5"/>
  <c r="D21" i="5"/>
  <c r="E21" i="5"/>
  <c r="F21" i="5"/>
  <c r="G21" i="5"/>
  <c r="J21" i="5"/>
  <c r="L21" i="5"/>
  <c r="M19" i="5"/>
  <c r="V19" i="5"/>
  <c r="D20" i="5"/>
  <c r="E20" i="5"/>
  <c r="F20" i="5"/>
  <c r="G20" i="5"/>
  <c r="H20" i="5"/>
  <c r="I20" i="5"/>
  <c r="J20" i="5"/>
  <c r="L20" i="5"/>
  <c r="M20" i="5"/>
  <c r="U20" i="5"/>
  <c r="V20" i="5"/>
  <c r="H21" i="5"/>
  <c r="I21" i="5"/>
  <c r="M21" i="5"/>
  <c r="U21" i="5"/>
  <c r="V21" i="5"/>
  <c r="D22" i="5"/>
  <c r="E22" i="5"/>
  <c r="F22" i="5"/>
  <c r="G22" i="5"/>
  <c r="H22" i="5"/>
  <c r="I22" i="5"/>
  <c r="J22" i="5"/>
  <c r="K22" i="5"/>
  <c r="L22" i="5"/>
  <c r="M22" i="5"/>
  <c r="D23" i="5"/>
  <c r="E23" i="5"/>
  <c r="F23" i="5"/>
  <c r="G23" i="5"/>
  <c r="H23" i="5"/>
  <c r="I23" i="5"/>
  <c r="J23" i="5"/>
  <c r="K23" i="5"/>
  <c r="L23" i="5"/>
  <c r="M23" i="5"/>
  <c r="D24" i="5"/>
  <c r="E24" i="5"/>
  <c r="F24" i="5"/>
  <c r="G24" i="5"/>
  <c r="H24" i="5"/>
  <c r="I24" i="5"/>
  <c r="J24" i="5"/>
  <c r="K24" i="5"/>
  <c r="L24" i="5"/>
  <c r="M24" i="5"/>
  <c r="D25" i="5"/>
  <c r="E25" i="5"/>
  <c r="F25" i="5"/>
  <c r="G25" i="5"/>
  <c r="H25" i="5"/>
  <c r="I25" i="5"/>
  <c r="J25" i="5"/>
  <c r="K25" i="5"/>
  <c r="L25" i="5"/>
  <c r="M25" i="5"/>
  <c r="U25" i="5"/>
  <c r="V25" i="5"/>
  <c r="E26" i="5"/>
  <c r="G26" i="5"/>
  <c r="M26" i="5"/>
  <c r="U26" i="5"/>
  <c r="V26" i="5"/>
  <c r="U27" i="5"/>
  <c r="V27" i="5"/>
  <c r="U28" i="5"/>
  <c r="V28" i="5"/>
  <c r="D29" i="5"/>
  <c r="E29" i="5"/>
  <c r="F29" i="5"/>
  <c r="G29" i="5"/>
  <c r="K29" i="5"/>
  <c r="L29" i="5"/>
  <c r="M29" i="5"/>
  <c r="N29" i="5"/>
  <c r="D30" i="5"/>
  <c r="E30" i="5"/>
  <c r="F30" i="5"/>
  <c r="G30" i="5"/>
  <c r="K30" i="5"/>
  <c r="L30" i="5"/>
  <c r="M30" i="5"/>
  <c r="N30" i="5"/>
  <c r="D31" i="5"/>
  <c r="E31" i="5"/>
  <c r="F31" i="5"/>
  <c r="G31" i="5"/>
  <c r="K31" i="5"/>
  <c r="L31" i="5"/>
  <c r="M31" i="5"/>
  <c r="N31" i="5"/>
  <c r="D32" i="5"/>
  <c r="E32" i="5"/>
  <c r="F32" i="5"/>
  <c r="G32" i="5"/>
  <c r="K32" i="5"/>
  <c r="L32" i="5"/>
  <c r="M32" i="5"/>
  <c r="N32" i="5"/>
  <c r="D33" i="5"/>
  <c r="E33" i="5"/>
  <c r="F33" i="5"/>
  <c r="G33" i="5"/>
  <c r="K33" i="5"/>
  <c r="L33" i="5"/>
  <c r="M33" i="5"/>
  <c r="N33" i="5"/>
  <c r="D34" i="5"/>
  <c r="E34" i="5"/>
  <c r="F34" i="5"/>
  <c r="G34" i="5"/>
  <c r="K34" i="5"/>
  <c r="L34" i="5"/>
  <c r="M34" i="5"/>
  <c r="N34" i="5"/>
  <c r="D35" i="5"/>
  <c r="E35" i="5"/>
  <c r="F35" i="5"/>
  <c r="G35" i="5"/>
  <c r="K35" i="5"/>
  <c r="L35" i="5"/>
  <c r="M35" i="5"/>
  <c r="N35" i="5"/>
  <c r="D36" i="5"/>
  <c r="E36" i="5"/>
  <c r="F36" i="5"/>
  <c r="G36" i="5"/>
  <c r="K36" i="5"/>
  <c r="L36" i="5"/>
  <c r="M36" i="5"/>
  <c r="N36" i="5"/>
  <c r="D40" i="5"/>
  <c r="E40" i="5"/>
  <c r="F40" i="5"/>
  <c r="G40" i="5"/>
  <c r="D41" i="5"/>
  <c r="E41" i="5"/>
  <c r="F41" i="5"/>
  <c r="G41" i="5"/>
  <c r="D42" i="5"/>
  <c r="E42" i="5"/>
  <c r="F42" i="5"/>
  <c r="G42" i="5"/>
  <c r="D43" i="5"/>
  <c r="E43" i="5"/>
  <c r="F43" i="5"/>
  <c r="G43" i="5"/>
  <c r="D44" i="5"/>
  <c r="E44" i="5"/>
  <c r="F44" i="5"/>
  <c r="G44" i="5"/>
  <c r="D45" i="5"/>
  <c r="E45" i="5"/>
  <c r="F45" i="5"/>
  <c r="G45" i="5"/>
  <c r="D46" i="5"/>
  <c r="E46" i="5"/>
  <c r="F46" i="5"/>
  <c r="G46" i="5"/>
  <c r="K25" i="2"/>
  <c r="K24" i="2"/>
  <c r="K22" i="2"/>
  <c r="O19" i="2"/>
  <c r="G36" i="4"/>
  <c r="F36" i="4"/>
  <c r="E36" i="4"/>
  <c r="D36" i="4"/>
  <c r="G35" i="4"/>
  <c r="F35" i="4"/>
  <c r="E35" i="4"/>
  <c r="D35" i="4"/>
  <c r="G34" i="4"/>
  <c r="F34" i="4"/>
  <c r="E34" i="4"/>
  <c r="D34" i="4"/>
  <c r="G33" i="4"/>
  <c r="F33" i="4"/>
  <c r="E33" i="4"/>
  <c r="D33" i="4"/>
  <c r="G32" i="4"/>
  <c r="F32" i="4"/>
  <c r="E32" i="4"/>
  <c r="D32" i="4"/>
  <c r="G31" i="4"/>
  <c r="F31" i="4"/>
  <c r="E31" i="4"/>
  <c r="D31" i="4"/>
  <c r="G30" i="4"/>
  <c r="F30" i="4"/>
  <c r="E30" i="4"/>
  <c r="D30" i="4"/>
  <c r="G29" i="4"/>
  <c r="F29" i="4"/>
  <c r="E29" i="4"/>
  <c r="D29" i="4"/>
  <c r="K25" i="4"/>
  <c r="I25" i="4"/>
  <c r="H25" i="4"/>
  <c r="G25" i="4"/>
  <c r="F25" i="4"/>
  <c r="E25" i="4"/>
  <c r="D25" i="4"/>
  <c r="K24" i="4"/>
  <c r="I24" i="4"/>
  <c r="H24" i="4"/>
  <c r="G24" i="4"/>
  <c r="F24" i="4"/>
  <c r="F21" i="4"/>
  <c r="F43" i="4"/>
  <c r="E24" i="4"/>
  <c r="D24" i="4"/>
  <c r="I23" i="4"/>
  <c r="H23" i="4"/>
  <c r="G23" i="4"/>
  <c r="F23" i="4"/>
  <c r="E23" i="4"/>
  <c r="D23" i="4"/>
  <c r="K22" i="4"/>
  <c r="I22" i="4"/>
  <c r="H22" i="4"/>
  <c r="G22" i="4"/>
  <c r="F22" i="4"/>
  <c r="E22" i="4"/>
  <c r="D22" i="4"/>
  <c r="I21" i="4"/>
  <c r="H21" i="4"/>
  <c r="G21" i="4"/>
  <c r="G40" i="4"/>
  <c r="F40" i="4"/>
  <c r="E21" i="4"/>
  <c r="D21" i="4"/>
  <c r="D40" i="4"/>
  <c r="I20" i="4"/>
  <c r="H20" i="4"/>
  <c r="G20" i="4"/>
  <c r="F20" i="4"/>
  <c r="E20" i="4"/>
  <c r="D20" i="4"/>
  <c r="I19" i="4"/>
  <c r="H19" i="4"/>
  <c r="G19" i="4"/>
  <c r="F19" i="4"/>
  <c r="E19" i="4"/>
  <c r="E26" i="4"/>
  <c r="U26" i="4"/>
  <c r="V26" i="4"/>
  <c r="D19" i="4"/>
  <c r="D45" i="4"/>
  <c r="V18" i="4"/>
  <c r="U18" i="4"/>
  <c r="I18" i="4"/>
  <c r="H18" i="4"/>
  <c r="G18" i="4"/>
  <c r="F18" i="4"/>
  <c r="E18" i="4"/>
  <c r="D18" i="4"/>
  <c r="M3" i="4"/>
  <c r="U19" i="4"/>
  <c r="M2" i="4"/>
  <c r="M1" i="4"/>
  <c r="G36" i="3"/>
  <c r="F36" i="3"/>
  <c r="E36" i="3"/>
  <c r="D36" i="3"/>
  <c r="G35" i="3"/>
  <c r="F35" i="3"/>
  <c r="E35" i="3"/>
  <c r="E24" i="3"/>
  <c r="L35" i="3"/>
  <c r="D35" i="3"/>
  <c r="G34" i="3"/>
  <c r="F34" i="3"/>
  <c r="E34" i="3"/>
  <c r="D34" i="3"/>
  <c r="G33" i="3"/>
  <c r="F33" i="3"/>
  <c r="E33" i="3"/>
  <c r="D33" i="3"/>
  <c r="G32" i="3"/>
  <c r="F32" i="3"/>
  <c r="E32" i="3"/>
  <c r="D32" i="3"/>
  <c r="G31" i="3"/>
  <c r="F31" i="3"/>
  <c r="E31" i="3"/>
  <c r="D31" i="3"/>
  <c r="G30" i="3"/>
  <c r="F30" i="3"/>
  <c r="E30" i="3"/>
  <c r="D30" i="3"/>
  <c r="G29" i="3"/>
  <c r="F29" i="3"/>
  <c r="E29" i="3"/>
  <c r="D29" i="3"/>
  <c r="K25" i="3"/>
  <c r="I25" i="3"/>
  <c r="H25" i="3"/>
  <c r="G25" i="3"/>
  <c r="F25" i="3"/>
  <c r="E25" i="3"/>
  <c r="D25" i="3"/>
  <c r="K24" i="3"/>
  <c r="I24" i="3"/>
  <c r="H24" i="3"/>
  <c r="G24" i="3"/>
  <c r="F24" i="3"/>
  <c r="D24" i="3"/>
  <c r="I23" i="3"/>
  <c r="H23" i="3"/>
  <c r="G23" i="3"/>
  <c r="F23" i="3"/>
  <c r="E23" i="3"/>
  <c r="D23" i="3"/>
  <c r="K22" i="3"/>
  <c r="I22" i="3"/>
  <c r="H22" i="3"/>
  <c r="G22" i="3"/>
  <c r="F22" i="3"/>
  <c r="E22" i="3"/>
  <c r="D22" i="3"/>
  <c r="I21" i="3"/>
  <c r="H21" i="3"/>
  <c r="G21" i="3"/>
  <c r="G40" i="3"/>
  <c r="F21" i="3"/>
  <c r="E21" i="3"/>
  <c r="D21" i="3"/>
  <c r="D40" i="3"/>
  <c r="I20" i="3"/>
  <c r="H20" i="3"/>
  <c r="G20" i="3"/>
  <c r="F20" i="3"/>
  <c r="E20" i="3"/>
  <c r="D20" i="3"/>
  <c r="I19" i="3"/>
  <c r="H19" i="3"/>
  <c r="G19" i="3"/>
  <c r="F19" i="3"/>
  <c r="E19" i="3"/>
  <c r="D19" i="3"/>
  <c r="D45" i="3"/>
  <c r="V18" i="3"/>
  <c r="U18" i="3"/>
  <c r="I18" i="3"/>
  <c r="H18" i="3"/>
  <c r="G18" i="3"/>
  <c r="F18" i="3"/>
  <c r="E18" i="3"/>
  <c r="D18" i="3"/>
  <c r="M3" i="3"/>
  <c r="U19" i="3"/>
  <c r="M2" i="3"/>
  <c r="M1" i="3"/>
  <c r="L35" i="4"/>
  <c r="F26" i="4"/>
  <c r="U27" i="4"/>
  <c r="V27" i="4"/>
  <c r="L29" i="4"/>
  <c r="L30" i="4"/>
  <c r="L32" i="4"/>
  <c r="L34" i="4"/>
  <c r="G45" i="4"/>
  <c r="G26" i="4"/>
  <c r="D43" i="4"/>
  <c r="M29" i="4"/>
  <c r="M30" i="4"/>
  <c r="M32" i="4"/>
  <c r="M35" i="4"/>
  <c r="F41" i="4"/>
  <c r="F44" i="4"/>
  <c r="N35" i="4"/>
  <c r="L30" i="3"/>
  <c r="G45" i="3"/>
  <c r="G26" i="3"/>
  <c r="F26" i="3"/>
  <c r="U27" i="3"/>
  <c r="V27" i="3"/>
  <c r="L29" i="3"/>
  <c r="L32" i="3"/>
  <c r="M31" i="4"/>
  <c r="M33" i="4"/>
  <c r="M36" i="4"/>
  <c r="J20" i="4"/>
  <c r="L20" i="4"/>
  <c r="D41" i="4"/>
  <c r="G43" i="4"/>
  <c r="J25" i="4"/>
  <c r="L25" i="4"/>
  <c r="K29" i="4"/>
  <c r="K30" i="4"/>
  <c r="K31" i="4"/>
  <c r="K32" i="4"/>
  <c r="K33" i="4"/>
  <c r="K34" i="4"/>
  <c r="K35" i="4"/>
  <c r="K36" i="4"/>
  <c r="L31" i="4"/>
  <c r="L33" i="4"/>
  <c r="L36" i="4"/>
  <c r="M34" i="4"/>
  <c r="E45" i="4"/>
  <c r="G41" i="4"/>
  <c r="J23" i="4"/>
  <c r="G44" i="4"/>
  <c r="D26" i="4"/>
  <c r="U25" i="4"/>
  <c r="V25" i="4"/>
  <c r="N29" i="4"/>
  <c r="N30" i="4"/>
  <c r="N31" i="4"/>
  <c r="N32" i="4"/>
  <c r="N33" i="4"/>
  <c r="N34" i="4"/>
  <c r="N36" i="4"/>
  <c r="J22" i="4"/>
  <c r="J21" i="4"/>
  <c r="L21" i="4"/>
  <c r="M21" i="4"/>
  <c r="U20" i="4"/>
  <c r="J24" i="4"/>
  <c r="L24" i="4"/>
  <c r="U21" i="4"/>
  <c r="V19" i="4"/>
  <c r="K23" i="4"/>
  <c r="F42" i="4"/>
  <c r="J18" i="4"/>
  <c r="L22" i="4"/>
  <c r="E44" i="4"/>
  <c r="J19" i="4"/>
  <c r="L19" i="4"/>
  <c r="U28" i="4"/>
  <c r="V28" i="4"/>
  <c r="D42" i="4"/>
  <c r="D44" i="4"/>
  <c r="E41" i="4"/>
  <c r="E43" i="4"/>
  <c r="F45" i="4"/>
  <c r="E40" i="4"/>
  <c r="D43" i="3"/>
  <c r="M35" i="3"/>
  <c r="M29" i="3"/>
  <c r="M32" i="3"/>
  <c r="F41" i="3"/>
  <c r="L34" i="3"/>
  <c r="M30" i="3"/>
  <c r="M31" i="3"/>
  <c r="F45" i="3"/>
  <c r="D41" i="3"/>
  <c r="G43" i="3"/>
  <c r="K29" i="3"/>
  <c r="K30" i="3"/>
  <c r="K31" i="3"/>
  <c r="K32" i="3"/>
  <c r="K33" i="3"/>
  <c r="K34" i="3"/>
  <c r="K35" i="3"/>
  <c r="K36" i="3"/>
  <c r="L31" i="3"/>
  <c r="L33" i="3"/>
  <c r="L36" i="3"/>
  <c r="M33" i="3"/>
  <c r="M34" i="3"/>
  <c r="M36" i="3"/>
  <c r="E26" i="3"/>
  <c r="U26" i="3"/>
  <c r="V26" i="3"/>
  <c r="G41" i="3"/>
  <c r="F43" i="3"/>
  <c r="G44" i="3"/>
  <c r="D26" i="3"/>
  <c r="N29" i="3"/>
  <c r="N30" i="3"/>
  <c r="N31" i="3"/>
  <c r="N32" i="3"/>
  <c r="N33" i="3"/>
  <c r="N34" i="3"/>
  <c r="N35" i="3"/>
  <c r="N36" i="3"/>
  <c r="U21" i="3"/>
  <c r="V19" i="3"/>
  <c r="J21" i="3"/>
  <c r="L21" i="3"/>
  <c r="M21" i="3"/>
  <c r="U20" i="3"/>
  <c r="J24" i="3"/>
  <c r="L24" i="3"/>
  <c r="J22" i="3"/>
  <c r="L22" i="3"/>
  <c r="J23" i="3"/>
  <c r="J20" i="3"/>
  <c r="L20" i="3"/>
  <c r="J25" i="3"/>
  <c r="L25" i="3"/>
  <c r="J18" i="3"/>
  <c r="E40" i="3"/>
  <c r="E45" i="3"/>
  <c r="F40" i="3"/>
  <c r="F44" i="3"/>
  <c r="J19" i="3"/>
  <c r="L19" i="3"/>
  <c r="K23" i="3"/>
  <c r="U28" i="3"/>
  <c r="V28" i="3"/>
  <c r="D44" i="3"/>
  <c r="E41" i="3"/>
  <c r="E43" i="3"/>
  <c r="E44" i="3"/>
  <c r="G36" i="2"/>
  <c r="F36" i="2"/>
  <c r="E36" i="2"/>
  <c r="D36" i="2"/>
  <c r="G35" i="2"/>
  <c r="F35" i="2"/>
  <c r="E35" i="2"/>
  <c r="D35" i="2"/>
  <c r="G34" i="2"/>
  <c r="F34" i="2"/>
  <c r="E34" i="2"/>
  <c r="D34" i="2"/>
  <c r="G33" i="2"/>
  <c r="F33" i="2"/>
  <c r="E33" i="2"/>
  <c r="D33" i="2"/>
  <c r="G32" i="2"/>
  <c r="F32" i="2"/>
  <c r="E32" i="2"/>
  <c r="D32" i="2"/>
  <c r="G31" i="2"/>
  <c r="F31" i="2"/>
  <c r="E31" i="2"/>
  <c r="D31" i="2"/>
  <c r="G30" i="2"/>
  <c r="F30" i="2"/>
  <c r="E30" i="2"/>
  <c r="D30" i="2"/>
  <c r="G29" i="2"/>
  <c r="F29" i="2"/>
  <c r="E29" i="2"/>
  <c r="D29" i="2"/>
  <c r="I25" i="2"/>
  <c r="H25" i="2"/>
  <c r="G25" i="2"/>
  <c r="F25" i="2"/>
  <c r="E25" i="2"/>
  <c r="D25" i="2"/>
  <c r="I24" i="2"/>
  <c r="H24" i="2"/>
  <c r="G24" i="2"/>
  <c r="F24" i="2"/>
  <c r="E24" i="2"/>
  <c r="D24" i="2"/>
  <c r="K23" i="2"/>
  <c r="I23" i="2"/>
  <c r="H23" i="2"/>
  <c r="G23" i="2"/>
  <c r="F23" i="2"/>
  <c r="E23" i="2"/>
  <c r="D23" i="2"/>
  <c r="I22" i="2"/>
  <c r="H22" i="2"/>
  <c r="G22" i="2"/>
  <c r="F22" i="2"/>
  <c r="E22" i="2"/>
  <c r="D22" i="2"/>
  <c r="I21" i="2"/>
  <c r="H21" i="2"/>
  <c r="G21" i="2"/>
  <c r="G40" i="2"/>
  <c r="F21" i="2"/>
  <c r="F40" i="2"/>
  <c r="E21" i="2"/>
  <c r="D21" i="2"/>
  <c r="I20" i="2"/>
  <c r="H20" i="2"/>
  <c r="G20" i="2"/>
  <c r="F20" i="2"/>
  <c r="E20" i="2"/>
  <c r="D20" i="2"/>
  <c r="I19" i="2"/>
  <c r="H19" i="2"/>
  <c r="G19" i="2"/>
  <c r="F19" i="2"/>
  <c r="F26" i="2"/>
  <c r="E19" i="2"/>
  <c r="D19" i="2"/>
  <c r="V18" i="2"/>
  <c r="U18" i="2"/>
  <c r="I18" i="2"/>
  <c r="H18" i="2"/>
  <c r="G18" i="2"/>
  <c r="F18" i="2"/>
  <c r="E18" i="2"/>
  <c r="D18" i="2"/>
  <c r="M3" i="2"/>
  <c r="U19" i="2"/>
  <c r="M2" i="2"/>
  <c r="M1" i="2"/>
  <c r="D26" i="2"/>
  <c r="U25" i="2"/>
  <c r="V25" i="2"/>
  <c r="F41" i="2"/>
  <c r="K29" i="2"/>
  <c r="U25" i="3"/>
  <c r="V25" i="3"/>
  <c r="G45" i="2"/>
  <c r="G26" i="2"/>
  <c r="U28" i="2"/>
  <c r="V28" i="2"/>
  <c r="M24" i="4"/>
  <c r="M19" i="4"/>
  <c r="M25" i="4"/>
  <c r="F46" i="4"/>
  <c r="M22" i="4"/>
  <c r="L23" i="4"/>
  <c r="M23" i="4"/>
  <c r="E42" i="4"/>
  <c r="E46" i="4"/>
  <c r="G42" i="4"/>
  <c r="G46" i="4"/>
  <c r="V20" i="4"/>
  <c r="V21" i="4"/>
  <c r="D46" i="4"/>
  <c r="M20" i="4"/>
  <c r="F42" i="3"/>
  <c r="F46" i="3"/>
  <c r="L23" i="3"/>
  <c r="M23" i="3"/>
  <c r="E42" i="3"/>
  <c r="E46" i="3"/>
  <c r="M25" i="3"/>
  <c r="V20" i="3"/>
  <c r="V21" i="3"/>
  <c r="G42" i="3"/>
  <c r="G46" i="3"/>
  <c r="M22" i="3"/>
  <c r="M19" i="3"/>
  <c r="D42" i="3"/>
  <c r="D46" i="3"/>
  <c r="M24" i="3"/>
  <c r="M20" i="3"/>
  <c r="K30" i="2"/>
  <c r="K32" i="2"/>
  <c r="K35" i="2"/>
  <c r="K34" i="2"/>
  <c r="E41" i="2"/>
  <c r="N33" i="2"/>
  <c r="L29" i="2"/>
  <c r="L30" i="2"/>
  <c r="L32" i="2"/>
  <c r="N29" i="2"/>
  <c r="N30" i="2"/>
  <c r="N32" i="2"/>
  <c r="N35" i="2"/>
  <c r="F43" i="2"/>
  <c r="G43" i="2"/>
  <c r="K31" i="2"/>
  <c r="K33" i="2"/>
  <c r="K36" i="2"/>
  <c r="G42" i="2"/>
  <c r="L31" i="2"/>
  <c r="L34" i="2"/>
  <c r="L36" i="2"/>
  <c r="E26" i="2"/>
  <c r="U26" i="2"/>
  <c r="V26" i="2"/>
  <c r="G41" i="2"/>
  <c r="J23" i="2"/>
  <c r="L23" i="2"/>
  <c r="E43" i="2"/>
  <c r="M29" i="2"/>
  <c r="M31" i="2"/>
  <c r="M32" i="2"/>
  <c r="M33" i="2"/>
  <c r="M34" i="2"/>
  <c r="M35" i="2"/>
  <c r="M36" i="2"/>
  <c r="M30" i="2"/>
  <c r="L35" i="2"/>
  <c r="U20" i="2"/>
  <c r="J24" i="2"/>
  <c r="L24" i="2"/>
  <c r="J22" i="2"/>
  <c r="L22" i="2"/>
  <c r="U21" i="2"/>
  <c r="V19" i="2"/>
  <c r="J21" i="2"/>
  <c r="L21" i="2"/>
  <c r="M21" i="2"/>
  <c r="D45" i="2"/>
  <c r="D43" i="2"/>
  <c r="D41" i="2"/>
  <c r="D40" i="2"/>
  <c r="F44" i="2"/>
  <c r="E44" i="2"/>
  <c r="D44" i="2"/>
  <c r="N34" i="2"/>
  <c r="J18" i="2"/>
  <c r="J20" i="2"/>
  <c r="L20" i="2"/>
  <c r="F42" i="2"/>
  <c r="E42" i="2"/>
  <c r="D42" i="2"/>
  <c r="G44" i="2"/>
  <c r="N31" i="2"/>
  <c r="L33" i="2"/>
  <c r="U27" i="2"/>
  <c r="V27" i="2"/>
  <c r="F45" i="2"/>
  <c r="J19" i="2"/>
  <c r="L19" i="2"/>
  <c r="J25" i="2"/>
  <c r="L25" i="2"/>
  <c r="N36" i="2"/>
  <c r="E40" i="2"/>
  <c r="E45" i="2"/>
  <c r="F46" i="2"/>
  <c r="M26" i="4"/>
  <c r="M26" i="3"/>
  <c r="M23" i="2"/>
  <c r="M24" i="2"/>
  <c r="M25" i="2"/>
  <c r="M20" i="2"/>
  <c r="G46" i="2"/>
  <c r="M19" i="2"/>
  <c r="M22" i="2"/>
  <c r="E46" i="2"/>
  <c r="V20" i="2"/>
  <c r="V21" i="2"/>
  <c r="D46" i="2"/>
  <c r="M26" i="2"/>
</calcChain>
</file>

<file path=xl/sharedStrings.xml><?xml version="1.0" encoding="utf-8"?>
<sst xmlns="http://schemas.openxmlformats.org/spreadsheetml/2006/main" count="652" uniqueCount="69">
  <si>
    <t>max</t>
  </si>
  <si>
    <t>avg</t>
  </si>
  <si>
    <t>Plate 1</t>
  </si>
  <si>
    <t>Max RLU</t>
  </si>
  <si>
    <t>SD</t>
  </si>
  <si>
    <t>Blank</t>
  </si>
  <si>
    <t>Empty</t>
  </si>
  <si>
    <t>A</t>
  </si>
  <si>
    <t>AVC</t>
  </si>
  <si>
    <t>B</t>
  </si>
  <si>
    <t>Eluate</t>
  </si>
  <si>
    <t>C</t>
  </si>
  <si>
    <t>D</t>
  </si>
  <si>
    <t>Lys</t>
  </si>
  <si>
    <t>E</t>
  </si>
  <si>
    <t>LM</t>
  </si>
  <si>
    <t>F</t>
  </si>
  <si>
    <t>FT</t>
  </si>
  <si>
    <t>G</t>
  </si>
  <si>
    <t>Wash 1</t>
  </si>
  <si>
    <t>H</t>
  </si>
  <si>
    <t>Wash 2</t>
  </si>
  <si>
    <t>Volumetric Activity</t>
  </si>
  <si>
    <t>Assay Performance Characteristics</t>
  </si>
  <si>
    <t>RLU Avg MRSA</t>
  </si>
  <si>
    <t>Volume</t>
  </si>
  <si>
    <t>% Recovery</t>
  </si>
  <si>
    <t>Test</t>
  </si>
  <si>
    <t>Specification</t>
  </si>
  <si>
    <t>OT</t>
  </si>
  <si>
    <t>Blank Average RLU</t>
  </si>
  <si>
    <t>≤400</t>
  </si>
  <si>
    <t>Cutoff</t>
  </si>
  <si>
    <t>N/A</t>
  </si>
  <si>
    <t>4 Strains</t>
  </si>
  <si>
    <t>1 Strain</t>
  </si>
  <si>
    <t>Strain specifications</t>
  </si>
  <si>
    <t>Analysis</t>
  </si>
  <si>
    <t>Result</t>
  </si>
  <si>
    <t xml:space="preserve">≤Signal≤ </t>
  </si>
  <si>
    <t>TM032 Signal</t>
  </si>
  <si>
    <t>sum</t>
  </si>
  <si>
    <t>StDev</t>
  </si>
  <si>
    <t>% Recovery by strain</t>
  </si>
  <si>
    <t>Retentate</t>
  </si>
  <si>
    <t>Time(hh:mm:ss)</t>
  </si>
  <si>
    <t xml:space="preserve"> </t>
  </si>
  <si>
    <t>62.5mv</t>
  </si>
  <si>
    <t>2017-1006A</t>
  </si>
  <si>
    <t>100mL reserv</t>
  </si>
  <si>
    <t xml:space="preserve">PNZ 17A </t>
  </si>
  <si>
    <t>250mL reserv</t>
  </si>
  <si>
    <t>500mL reserv</t>
  </si>
  <si>
    <t>Strain 1</t>
  </si>
  <si>
    <t>Strain 2</t>
  </si>
  <si>
    <t>Strain 3</t>
  </si>
  <si>
    <t>Strain 4</t>
  </si>
  <si>
    <t>Neg</t>
  </si>
  <si>
    <t>Strain1</t>
  </si>
  <si>
    <t>Strain2</t>
  </si>
  <si>
    <t>Strain3</t>
  </si>
  <si>
    <t>Strain4</t>
  </si>
  <si>
    <t>Positive by Assay</t>
  </si>
  <si>
    <t>Negative by Assay</t>
  </si>
  <si>
    <t>Elu</t>
  </si>
  <si>
    <t>Ret</t>
  </si>
  <si>
    <t>Signal</t>
  </si>
  <si>
    <t>Strain 5</t>
  </si>
  <si>
    <t>Strain 5(Neg)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</si>
</sst>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9"/>
      <color theme="1"/>
      <name val="Calibri"/>
      <family val="2"/>
      <charset val="136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9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1" fillId="3" borderId="0" applyNumberFormat="0" applyBorder="0" applyAlignment="0" applyProtection="0"/>
    <xf numFmtId="0" fontId="2" fillId="2" borderId="0" applyNumberFormat="0" applyBorder="0" applyAlignment="0" applyProtection="0"/>
    <xf numFmtId="0" fontId="12" fillId="2" borderId="0" applyNumberFormat="0" applyBorder="0" applyAlignment="0" applyProtection="0"/>
    <xf numFmtId="0" fontId="13" fillId="4" borderId="0" applyNumberFormat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0" fontId="1" fillId="5" borderId="1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7" fillId="0" borderId="0" xfId="0" applyFont="1" applyFill="1"/>
    <xf numFmtId="0" fontId="0" fillId="0" borderId="0" xfId="0" applyFont="1"/>
    <xf numFmtId="1" fontId="0" fillId="0" borderId="2" xfId="0" applyNumberFormat="1" applyFont="1" applyFill="1" applyBorder="1"/>
    <xf numFmtId="9" fontId="0" fillId="0" borderId="0" xfId="0" applyNumberFormat="1"/>
    <xf numFmtId="0" fontId="8" fillId="0" borderId="0" xfId="0" applyFont="1"/>
    <xf numFmtId="0" fontId="9" fillId="0" borderId="0" xfId="0" applyFont="1" applyAlignment="1" applyProtection="1"/>
    <xf numFmtId="0" fontId="0" fillId="0" borderId="0" xfId="0" applyAlignment="1" applyProtection="1">
      <alignment horizontal="center"/>
    </xf>
    <xf numFmtId="0" fontId="0" fillId="0" borderId="0" xfId="0" applyAlignment="1">
      <alignment wrapText="1"/>
    </xf>
    <xf numFmtId="0" fontId="3" fillId="0" borderId="0" xfId="0" applyFont="1" applyAlignment="1" applyProtection="1">
      <protection locked="0"/>
    </xf>
    <xf numFmtId="0" fontId="5" fillId="0" borderId="2" xfId="0" applyFont="1" applyBorder="1" applyAlignment="1" applyProtection="1">
      <alignment horizontal="center"/>
    </xf>
    <xf numFmtId="1" fontId="0" fillId="0" borderId="2" xfId="0" applyNumberFormat="1" applyBorder="1"/>
    <xf numFmtId="0" fontId="0" fillId="24" borderId="2" xfId="0" applyFill="1" applyBorder="1"/>
    <xf numFmtId="1" fontId="0" fillId="0" borderId="2" xfId="0" applyNumberFormat="1" applyFont="1" applyFill="1" applyBorder="1" applyAlignment="1" applyProtection="1">
      <alignment horizontal="center"/>
    </xf>
    <xf numFmtId="2" fontId="0" fillId="0" borderId="2" xfId="0" applyNumberFormat="1" applyBorder="1"/>
    <xf numFmtId="9" fontId="0" fillId="0" borderId="2" xfId="1" applyFont="1" applyBorder="1"/>
    <xf numFmtId="0" fontId="10" fillId="0" borderId="2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/>
    </xf>
    <xf numFmtId="164" fontId="0" fillId="0" borderId="2" xfId="0" applyNumberFormat="1" applyBorder="1"/>
    <xf numFmtId="0" fontId="0" fillId="0" borderId="0" xfId="0" applyFont="1" applyFill="1" applyBorder="1" applyProtection="1"/>
    <xf numFmtId="0" fontId="0" fillId="0" borderId="0" xfId="0" applyFill="1" applyAlignment="1">
      <alignment horizontal="center"/>
    </xf>
    <xf numFmtId="0" fontId="9" fillId="0" borderId="0" xfId="0" applyFont="1" applyFill="1" applyBorder="1" applyProtection="1"/>
    <xf numFmtId="0" fontId="0" fillId="0" borderId="0" xfId="0" applyFill="1"/>
    <xf numFmtId="165" fontId="0" fillId="0" borderId="2" xfId="0" applyNumberFormat="1" applyBorder="1"/>
    <xf numFmtId="0" fontId="5" fillId="0" borderId="2" xfId="0" applyFont="1" applyFill="1" applyBorder="1" applyAlignment="1" applyProtection="1">
      <alignment horizontal="center"/>
    </xf>
    <xf numFmtId="2" fontId="10" fillId="0" borderId="3" xfId="0" applyNumberFormat="1" applyFont="1" applyFill="1" applyBorder="1" applyAlignment="1" applyProtection="1">
      <alignment horizontal="center"/>
    </xf>
    <xf numFmtId="0" fontId="10" fillId="0" borderId="4" xfId="0" applyFont="1" applyFill="1" applyBorder="1" applyAlignment="1" applyProtection="1">
      <alignment horizontal="center"/>
    </xf>
    <xf numFmtId="165" fontId="10" fillId="0" borderId="5" xfId="0" applyNumberFormat="1" applyFont="1" applyFill="1" applyBorder="1" applyAlignment="1" applyProtection="1">
      <alignment horizontal="center"/>
    </xf>
    <xf numFmtId="2" fontId="10" fillId="0" borderId="2" xfId="0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25" borderId="0" xfId="0" applyFill="1" applyAlignment="1">
      <alignment horizontal="right"/>
    </xf>
    <xf numFmtId="2" fontId="0" fillId="0" borderId="0" xfId="0" applyNumberFormat="1" applyFill="1"/>
    <xf numFmtId="9" fontId="0" fillId="0" borderId="0" xfId="1" applyFont="1"/>
    <xf numFmtId="0" fontId="0" fillId="19" borderId="2" xfId="0" applyFill="1" applyBorder="1"/>
    <xf numFmtId="0" fontId="0" fillId="20" borderId="6" xfId="0" applyFill="1" applyBorder="1"/>
    <xf numFmtId="9" fontId="0" fillId="0" borderId="6" xfId="1" applyFont="1" applyBorder="1"/>
    <xf numFmtId="0" fontId="0" fillId="21" borderId="7" xfId="0" applyFill="1" applyBorder="1"/>
    <xf numFmtId="9" fontId="0" fillId="0" borderId="7" xfId="1" applyFont="1" applyBorder="1"/>
    <xf numFmtId="0" fontId="0" fillId="22" borderId="2" xfId="0" applyFill="1" applyBorder="1"/>
    <xf numFmtId="0" fontId="0" fillId="23" borderId="2" xfId="0" applyFill="1" applyBorder="1"/>
    <xf numFmtId="0" fontId="0" fillId="18" borderId="2" xfId="0" applyFill="1" applyBorder="1"/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5" fillId="0" borderId="2" xfId="0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 applyProtection="1">
      <alignment horizontal="left"/>
    </xf>
    <xf numFmtId="0" fontId="3" fillId="0" borderId="0" xfId="0" applyFont="1" applyAlignment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2" xfId="0" applyFont="1" applyFill="1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0" fillId="0" borderId="2" xfId="0" applyFont="1" applyBorder="1" applyAlignment="1" applyProtection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Border="1" applyAlignment="1" applyProtection="1">
      <alignment horizontal="center" wrapText="1"/>
    </xf>
  </cellXfs>
  <cellStyles count="42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Bad 2" xfId="26"/>
    <cellStyle name="Good 2" xfId="27"/>
    <cellStyle name="Good 3" xfId="28"/>
    <cellStyle name="Neutral 2" xfId="29"/>
    <cellStyle name="Normal" xfId="0" builtinId="0"/>
    <cellStyle name="Normal 2" xfId="30"/>
    <cellStyle name="Normal 2 2 2" xfId="31"/>
    <cellStyle name="Normal 3" xfId="32"/>
    <cellStyle name="Normal 4" xfId="33"/>
    <cellStyle name="Normal 5" xfId="34"/>
    <cellStyle name="Note 2" xfId="35"/>
    <cellStyle name="Note 3" xfId="36"/>
    <cellStyle name="Note 4" xfId="37"/>
    <cellStyle name="Percent" xfId="1" builtinId="5"/>
    <cellStyle name="Percent 2" xfId="38"/>
    <cellStyle name="Percent 2 2" xfId="39"/>
    <cellStyle name="Percent 3" xfId="40"/>
    <cellStyle name="Percent 4" xfId="41"/>
  </cellStyles>
  <dxfs count="16"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'Results RL3 (2)'!$C$42</c:f>
              <c:strCache>
                <c:ptCount val="1"/>
                <c:pt idx="0">
                  <c:v>FT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'Results RL3 (2)'!$D$39:$G$39</c:f>
              <c:strCache>
                <c:ptCount val="4"/>
                <c:pt idx="0">
                  <c:v>Strain 1</c:v>
                </c:pt>
                <c:pt idx="1">
                  <c:v>Strain 2</c:v>
                </c:pt>
                <c:pt idx="2">
                  <c:v>Strain 3</c:v>
                </c:pt>
                <c:pt idx="3">
                  <c:v>Strain 4</c:v>
                </c:pt>
              </c:strCache>
            </c:strRef>
          </c:cat>
          <c:val>
            <c:numRef>
              <c:f>'Results RL3 (2)'!$D$42:$G$42</c:f>
              <c:numCache>
                <c:formatCode>0%</c:formatCode>
                <c:ptCount val="4"/>
                <c:pt idx="0">
                  <c:v>1.122757173406762</c:v>
                </c:pt>
                <c:pt idx="1">
                  <c:v>1.786651319801775</c:v>
                </c:pt>
                <c:pt idx="2">
                  <c:v>1.972305364937227</c:v>
                </c:pt>
                <c:pt idx="3">
                  <c:v>1.195917072538364</c:v>
                </c:pt>
              </c:numCache>
            </c:numRef>
          </c:val>
        </c:ser>
        <c:ser>
          <c:idx val="0"/>
          <c:order val="1"/>
          <c:tx>
            <c:strRef>
              <c:f>'Results RL3 (2)'!$C$43</c:f>
              <c:strCache>
                <c:ptCount val="1"/>
                <c:pt idx="0">
                  <c:v>Wash 1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strRef>
              <c:f>'Results RL3 (2)'!$D$39:$G$39</c:f>
              <c:strCache>
                <c:ptCount val="4"/>
                <c:pt idx="0">
                  <c:v>Strain 1</c:v>
                </c:pt>
                <c:pt idx="1">
                  <c:v>Strain 2</c:v>
                </c:pt>
                <c:pt idx="2">
                  <c:v>Strain 3</c:v>
                </c:pt>
                <c:pt idx="3">
                  <c:v>Strain 4</c:v>
                </c:pt>
              </c:strCache>
            </c:strRef>
          </c:cat>
          <c:val>
            <c:numRef>
              <c:f>'Results RL3 (2)'!$D$43:$G$43</c:f>
              <c:numCache>
                <c:formatCode>0%</c:formatCode>
                <c:ptCount val="4"/>
                <c:pt idx="0">
                  <c:v>0.00363059135876804</c:v>
                </c:pt>
                <c:pt idx="1">
                  <c:v>0.0114862262313564</c:v>
                </c:pt>
                <c:pt idx="2">
                  <c:v>0.0362113090610842</c:v>
                </c:pt>
                <c:pt idx="3">
                  <c:v>0.00281011568882147</c:v>
                </c:pt>
              </c:numCache>
            </c:numRef>
          </c:val>
        </c:ser>
        <c:ser>
          <c:idx val="1"/>
          <c:order val="2"/>
          <c:tx>
            <c:strRef>
              <c:f>'Results RL3 (2)'!$C$44</c:f>
              <c:strCache>
                <c:ptCount val="1"/>
                <c:pt idx="0">
                  <c:v>Wash 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'Results RL3 (2)'!$D$39:$G$39</c:f>
              <c:strCache>
                <c:ptCount val="4"/>
                <c:pt idx="0">
                  <c:v>Strain 1</c:v>
                </c:pt>
                <c:pt idx="1">
                  <c:v>Strain 2</c:v>
                </c:pt>
                <c:pt idx="2">
                  <c:v>Strain 3</c:v>
                </c:pt>
                <c:pt idx="3">
                  <c:v>Strain 4</c:v>
                </c:pt>
              </c:strCache>
            </c:strRef>
          </c:cat>
          <c:val>
            <c:numRef>
              <c:f>'Results RL3 (2)'!$D$44:$G$44</c:f>
              <c:numCache>
                <c:formatCode>0%</c:formatCode>
                <c:ptCount val="4"/>
                <c:pt idx="0">
                  <c:v>0.286589816437307</c:v>
                </c:pt>
                <c:pt idx="1">
                  <c:v>0.442221449164715</c:v>
                </c:pt>
                <c:pt idx="2">
                  <c:v>0.424140362172671</c:v>
                </c:pt>
                <c:pt idx="3">
                  <c:v>0.223247430301041</c:v>
                </c:pt>
              </c:numCache>
            </c:numRef>
          </c:val>
        </c:ser>
        <c:ser>
          <c:idx val="2"/>
          <c:order val="3"/>
          <c:tx>
            <c:strRef>
              <c:f>'Results RL3 (2)'!$C$45</c:f>
              <c:strCache>
                <c:ptCount val="1"/>
                <c:pt idx="0">
                  <c:v>Elu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Ref>
              <c:f>'Results RL3 (2)'!$D$39:$G$39</c:f>
              <c:strCache>
                <c:ptCount val="4"/>
                <c:pt idx="0">
                  <c:v>Strain 1</c:v>
                </c:pt>
                <c:pt idx="1">
                  <c:v>Strain 2</c:v>
                </c:pt>
                <c:pt idx="2">
                  <c:v>Strain 3</c:v>
                </c:pt>
                <c:pt idx="3">
                  <c:v>Strain 4</c:v>
                </c:pt>
              </c:strCache>
            </c:strRef>
          </c:cat>
          <c:val>
            <c:numRef>
              <c:f>'Results RL3 (2)'!$D$45:$G$45</c:f>
              <c:numCache>
                <c:formatCode>0%</c:formatCode>
                <c:ptCount val="4"/>
                <c:pt idx="0">
                  <c:v>0.498940974724536</c:v>
                </c:pt>
                <c:pt idx="1">
                  <c:v>0.322327263478168</c:v>
                </c:pt>
                <c:pt idx="2">
                  <c:v>2.029564060089377</c:v>
                </c:pt>
                <c:pt idx="3">
                  <c:v>0.770911953688386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644792800"/>
        <c:axId val="-1644788528"/>
      </c:barChart>
      <c:catAx>
        <c:axId val="-1644792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644788528"/>
        <c:crosses val="autoZero"/>
        <c:auto val="1"/>
        <c:lblAlgn val="ctr"/>
        <c:lblOffset val="100"/>
        <c:noMultiLvlLbl val="0"/>
      </c:catAx>
      <c:valAx>
        <c:axId val="-16447885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164479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'Results PNZ17A 100mL reserv'!$C$42</c:f>
              <c:strCache>
                <c:ptCount val="1"/>
                <c:pt idx="0">
                  <c:v>FT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'Results PNZ17A 100mL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100mL reserv'!$D$42:$G$42</c:f>
              <c:numCache>
                <c:formatCode>0%</c:formatCode>
                <c:ptCount val="4"/>
                <c:pt idx="0">
                  <c:v>0.183212430004614</c:v>
                </c:pt>
                <c:pt idx="1">
                  <c:v>0.471471777854074</c:v>
                </c:pt>
                <c:pt idx="2">
                  <c:v>0.499957005017169</c:v>
                </c:pt>
                <c:pt idx="3">
                  <c:v>0.416117899264068</c:v>
                </c:pt>
              </c:numCache>
            </c:numRef>
          </c:val>
        </c:ser>
        <c:ser>
          <c:idx val="0"/>
          <c:order val="1"/>
          <c:tx>
            <c:strRef>
              <c:f>'Results PNZ17A 100mL reserv'!$C$43</c:f>
              <c:strCache>
                <c:ptCount val="1"/>
                <c:pt idx="0">
                  <c:v>Wash 1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strRef>
              <c:f>'Results PNZ17A 100mL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100mL reserv'!$D$43:$G$43</c:f>
              <c:numCache>
                <c:formatCode>0%</c:formatCode>
                <c:ptCount val="4"/>
                <c:pt idx="0">
                  <c:v>0.0580122707433059</c:v>
                </c:pt>
                <c:pt idx="1">
                  <c:v>0.248868561059677</c:v>
                </c:pt>
                <c:pt idx="2">
                  <c:v>0.258919948145681</c:v>
                </c:pt>
                <c:pt idx="3">
                  <c:v>0.240700994034343</c:v>
                </c:pt>
              </c:numCache>
            </c:numRef>
          </c:val>
        </c:ser>
        <c:ser>
          <c:idx val="1"/>
          <c:order val="2"/>
          <c:tx>
            <c:strRef>
              <c:f>'Results PNZ17A 100mL reserv'!$C$44</c:f>
              <c:strCache>
                <c:ptCount val="1"/>
                <c:pt idx="0">
                  <c:v>Wash 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'Results PNZ17A 100mL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100mL reserv'!$D$44:$G$44</c:f>
              <c:numCache>
                <c:formatCode>0%</c:formatCode>
                <c:ptCount val="4"/>
                <c:pt idx="0">
                  <c:v>0.182497252541754</c:v>
                </c:pt>
                <c:pt idx="1">
                  <c:v>0.562207696944994</c:v>
                </c:pt>
                <c:pt idx="2">
                  <c:v>0.407417339514809</c:v>
                </c:pt>
                <c:pt idx="3">
                  <c:v>0.421063596895177</c:v>
                </c:pt>
              </c:numCache>
            </c:numRef>
          </c:val>
        </c:ser>
        <c:ser>
          <c:idx val="2"/>
          <c:order val="3"/>
          <c:tx>
            <c:strRef>
              <c:f>'Results PNZ17A 100mL reserv'!$C$45</c:f>
              <c:strCache>
                <c:ptCount val="1"/>
                <c:pt idx="0">
                  <c:v>Eluate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Ref>
              <c:f>'Results PNZ17A 100mL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100mL reserv'!$D$45:$G$45</c:f>
              <c:numCache>
                <c:formatCode>0%</c:formatCode>
                <c:ptCount val="4"/>
                <c:pt idx="0">
                  <c:v>0.0864516327386138</c:v>
                </c:pt>
                <c:pt idx="1">
                  <c:v>0.293362315106359</c:v>
                </c:pt>
                <c:pt idx="2">
                  <c:v>0.616116146442614</c:v>
                </c:pt>
                <c:pt idx="3">
                  <c:v>0.292554332147176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663311664"/>
        <c:axId val="-1721901696"/>
      </c:barChart>
      <c:catAx>
        <c:axId val="-1663311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721901696"/>
        <c:crosses val="autoZero"/>
        <c:auto val="1"/>
        <c:lblAlgn val="ctr"/>
        <c:lblOffset val="100"/>
        <c:noMultiLvlLbl val="0"/>
      </c:catAx>
      <c:valAx>
        <c:axId val="-17219016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1663311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'Results PNZ17A 250mL reserv'!$C$42</c:f>
              <c:strCache>
                <c:ptCount val="1"/>
                <c:pt idx="0">
                  <c:v>FT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'Results PNZ17A 250mL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250mL reserv'!$D$42:$G$42</c:f>
              <c:numCache>
                <c:formatCode>0%</c:formatCode>
                <c:ptCount val="4"/>
                <c:pt idx="0">
                  <c:v>0.136026346741942</c:v>
                </c:pt>
                <c:pt idx="1">
                  <c:v>0.277062871253106</c:v>
                </c:pt>
                <c:pt idx="2">
                  <c:v>0.441182508736596</c:v>
                </c:pt>
                <c:pt idx="3">
                  <c:v>0.371660895247998</c:v>
                </c:pt>
              </c:numCache>
            </c:numRef>
          </c:val>
        </c:ser>
        <c:ser>
          <c:idx val="0"/>
          <c:order val="1"/>
          <c:tx>
            <c:strRef>
              <c:f>'Results PNZ17A 250mL reserv'!$C$43</c:f>
              <c:strCache>
                <c:ptCount val="1"/>
                <c:pt idx="0">
                  <c:v>Wash 1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strRef>
              <c:f>'Results PNZ17A 250mL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250mL reserv'!$D$43:$G$43</c:f>
              <c:numCache>
                <c:formatCode>0%</c:formatCode>
                <c:ptCount val="4"/>
                <c:pt idx="0">
                  <c:v>0.067535270645848</c:v>
                </c:pt>
                <c:pt idx="1">
                  <c:v>0.211437538520243</c:v>
                </c:pt>
                <c:pt idx="2">
                  <c:v>0.301291433491784</c:v>
                </c:pt>
                <c:pt idx="3">
                  <c:v>0.237549423470882</c:v>
                </c:pt>
              </c:numCache>
            </c:numRef>
          </c:val>
        </c:ser>
        <c:ser>
          <c:idx val="1"/>
          <c:order val="2"/>
          <c:tx>
            <c:strRef>
              <c:f>'Results PNZ17A 250mL reserv'!$C$44</c:f>
              <c:strCache>
                <c:ptCount val="1"/>
                <c:pt idx="0">
                  <c:v>Wash 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'Results PNZ17A 250mL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250mL reserv'!$D$44:$G$44</c:f>
              <c:numCache>
                <c:formatCode>0%</c:formatCode>
                <c:ptCount val="4"/>
                <c:pt idx="0">
                  <c:v>0.159476063153416</c:v>
                </c:pt>
                <c:pt idx="1">
                  <c:v>0.518374509174001</c:v>
                </c:pt>
                <c:pt idx="2">
                  <c:v>0.381812333716345</c:v>
                </c:pt>
                <c:pt idx="3">
                  <c:v>0.303535652508689</c:v>
                </c:pt>
              </c:numCache>
            </c:numRef>
          </c:val>
        </c:ser>
        <c:ser>
          <c:idx val="2"/>
          <c:order val="3"/>
          <c:tx>
            <c:strRef>
              <c:f>'Results PNZ17A 250mL reserv'!$C$45</c:f>
              <c:strCache>
                <c:ptCount val="1"/>
                <c:pt idx="0">
                  <c:v>Eluate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Ref>
              <c:f>'Results PNZ17A 250mL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250mL reserv'!$D$45:$G$45</c:f>
              <c:numCache>
                <c:formatCode>0%</c:formatCode>
                <c:ptCount val="4"/>
                <c:pt idx="0">
                  <c:v>0.0771690266001667</c:v>
                </c:pt>
                <c:pt idx="1">
                  <c:v>0.181617648088933</c:v>
                </c:pt>
                <c:pt idx="2">
                  <c:v>0.339613950195066</c:v>
                </c:pt>
                <c:pt idx="3">
                  <c:v>0.140544077248292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666780736"/>
        <c:axId val="-1721928224"/>
      </c:barChart>
      <c:catAx>
        <c:axId val="-166678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721928224"/>
        <c:crosses val="autoZero"/>
        <c:auto val="1"/>
        <c:lblAlgn val="ctr"/>
        <c:lblOffset val="100"/>
        <c:noMultiLvlLbl val="0"/>
      </c:catAx>
      <c:valAx>
        <c:axId val="-17219282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1666780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'Results PNZ17A 500mL reserv'!$C$42</c:f>
              <c:strCache>
                <c:ptCount val="1"/>
                <c:pt idx="0">
                  <c:v>FT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'Results PNZ17A 500mL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500mL reserv'!$D$42:$G$42</c:f>
              <c:numCache>
                <c:formatCode>0%</c:formatCode>
                <c:ptCount val="4"/>
                <c:pt idx="0">
                  <c:v>0.126144686539322</c:v>
                </c:pt>
                <c:pt idx="1">
                  <c:v>0.328776256232718</c:v>
                </c:pt>
                <c:pt idx="2">
                  <c:v>0.49047883908232</c:v>
                </c:pt>
                <c:pt idx="3">
                  <c:v>0.245942072668717</c:v>
                </c:pt>
              </c:numCache>
            </c:numRef>
          </c:val>
        </c:ser>
        <c:ser>
          <c:idx val="0"/>
          <c:order val="1"/>
          <c:tx>
            <c:strRef>
              <c:f>'Results PNZ17A 500mL reserv'!$C$43</c:f>
              <c:strCache>
                <c:ptCount val="1"/>
                <c:pt idx="0">
                  <c:v>Wash 1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strRef>
              <c:f>'Results PNZ17A 500mL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500mL reserv'!$D$43:$G$43</c:f>
              <c:numCache>
                <c:formatCode>0%</c:formatCode>
                <c:ptCount val="4"/>
                <c:pt idx="0">
                  <c:v>0.0393992408833364</c:v>
                </c:pt>
                <c:pt idx="1">
                  <c:v>0.193192583236048</c:v>
                </c:pt>
                <c:pt idx="2">
                  <c:v>0.310801617192389</c:v>
                </c:pt>
                <c:pt idx="3">
                  <c:v>0.149737112792884</c:v>
                </c:pt>
              </c:numCache>
            </c:numRef>
          </c:val>
        </c:ser>
        <c:ser>
          <c:idx val="1"/>
          <c:order val="2"/>
          <c:tx>
            <c:strRef>
              <c:f>'Results PNZ17A 500mL reserv'!$C$44</c:f>
              <c:strCache>
                <c:ptCount val="1"/>
                <c:pt idx="0">
                  <c:v>Wash 2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'Results PNZ17A 500mL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500mL reserv'!$D$44:$G$44</c:f>
              <c:numCache>
                <c:formatCode>0%</c:formatCode>
                <c:ptCount val="4"/>
                <c:pt idx="0">
                  <c:v>0.0938371603205679</c:v>
                </c:pt>
                <c:pt idx="1">
                  <c:v>0.444282682762672</c:v>
                </c:pt>
                <c:pt idx="2">
                  <c:v>0.338754119904935</c:v>
                </c:pt>
                <c:pt idx="3">
                  <c:v>0.387050515742412</c:v>
                </c:pt>
              </c:numCache>
            </c:numRef>
          </c:val>
        </c:ser>
        <c:ser>
          <c:idx val="2"/>
          <c:order val="3"/>
          <c:tx>
            <c:strRef>
              <c:f>'Results PNZ17A 500mL reserv'!$C$45</c:f>
              <c:strCache>
                <c:ptCount val="1"/>
                <c:pt idx="0">
                  <c:v>Eluate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Ref>
              <c:f>'Results PNZ17A 500mL reserv'!$D$39:$G$39</c:f>
              <c:strCache>
                <c:ptCount val="4"/>
                <c:pt idx="0">
                  <c:v>Strain1</c:v>
                </c:pt>
                <c:pt idx="1">
                  <c:v>Strain2</c:v>
                </c:pt>
                <c:pt idx="2">
                  <c:v>Strain3</c:v>
                </c:pt>
                <c:pt idx="3">
                  <c:v>Strain4</c:v>
                </c:pt>
              </c:strCache>
            </c:strRef>
          </c:cat>
          <c:val>
            <c:numRef>
              <c:f>'Results PNZ17A 500mL reserv'!$D$45:$G$45</c:f>
              <c:numCache>
                <c:formatCode>0%</c:formatCode>
                <c:ptCount val="4"/>
                <c:pt idx="0">
                  <c:v>0.051989759697175</c:v>
                </c:pt>
                <c:pt idx="1">
                  <c:v>0.330778010852853</c:v>
                </c:pt>
                <c:pt idx="2">
                  <c:v>0.633001116136716</c:v>
                </c:pt>
                <c:pt idx="3">
                  <c:v>0.210016925488098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662811504"/>
        <c:axId val="-1662844432"/>
      </c:barChart>
      <c:catAx>
        <c:axId val="-1662811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662844432"/>
        <c:crosses val="autoZero"/>
        <c:auto val="1"/>
        <c:lblAlgn val="ctr"/>
        <c:lblOffset val="100"/>
        <c:noMultiLvlLbl val="0"/>
      </c:catAx>
      <c:valAx>
        <c:axId val="-16628444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-1662811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493058</xdr:colOff>
      <xdr:row>35</xdr:row>
      <xdr:rowOff>158003</xdr:rowOff>
    </xdr:from>
    <xdr:to>
      <xdr:col>14</xdr:col>
      <xdr:colOff>605117</xdr:colOff>
      <xdr:row>50</xdr:row>
      <xdr:rowOff>32497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493058</xdr:colOff>
      <xdr:row>35</xdr:row>
      <xdr:rowOff>158003</xdr:rowOff>
    </xdr:from>
    <xdr:to>
      <xdr:col>14</xdr:col>
      <xdr:colOff>605117</xdr:colOff>
      <xdr:row>50</xdr:row>
      <xdr:rowOff>32497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493058</xdr:colOff>
      <xdr:row>35</xdr:row>
      <xdr:rowOff>158003</xdr:rowOff>
    </xdr:from>
    <xdr:to>
      <xdr:col>14</xdr:col>
      <xdr:colOff>605117</xdr:colOff>
      <xdr:row>50</xdr:row>
      <xdr:rowOff>32497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493058</xdr:colOff>
      <xdr:row>35</xdr:row>
      <xdr:rowOff>158003</xdr:rowOff>
    </xdr:from>
    <xdr:to>
      <xdr:col>14</xdr:col>
      <xdr:colOff>605117</xdr:colOff>
      <xdr:row>50</xdr:row>
      <xdr:rowOff>32497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55"/>
  <sheetViews>
    <sheetView tabSelected="1" zoomScale="80" zoomScaleNormal="80" workbookViewId="0">
      <selection activeCell="F27" sqref="F27"/>
    </sheetView>
  </sheetViews>
  <sheetFormatPr baseColWidth="10" defaultColWidth="8.83203125" defaultRowHeight="15" x14ac:dyDescent="0.2"/>
  <cols>
    <col min="1" max="2" width="7.33203125" customWidth="1"/>
    <col min="3" max="3" width="12.1640625" bestFit="1" customWidth="1"/>
    <col min="4" max="5" width="9.6640625" bestFit="1" customWidth="1"/>
    <col min="6" max="6" width="11.6640625" bestFit="1" customWidth="1"/>
    <col min="7" max="7" width="11.5" bestFit="1" customWidth="1"/>
    <col min="8" max="9" width="9.6640625" bestFit="1" customWidth="1"/>
    <col min="10" max="10" width="9.5" bestFit="1" customWidth="1"/>
    <col min="11" max="11" width="10" style="12" bestFit="1" customWidth="1"/>
    <col min="12" max="13" width="9.6640625" bestFit="1" customWidth="1"/>
    <col min="14" max="14" width="8.33203125" bestFit="1" customWidth="1"/>
    <col min="15" max="15" width="10.6640625" customWidth="1"/>
    <col min="16" max="16" width="12" bestFit="1" customWidth="1"/>
  </cols>
  <sheetData>
    <row r="1" spans="1:30" x14ac:dyDescent="0.2">
      <c r="D1" s="1"/>
      <c r="F1" s="1"/>
      <c r="G1" s="1"/>
      <c r="H1" s="1"/>
      <c r="I1" s="1"/>
      <c r="K1"/>
      <c r="L1" t="s">
        <v>0</v>
      </c>
      <c r="M1" s="2">
        <f>MAX(M7:M14)</f>
        <v>386.47747199999998</v>
      </c>
    </row>
    <row r="2" spans="1:30" x14ac:dyDescent="0.2">
      <c r="K2"/>
      <c r="L2" t="s">
        <v>1</v>
      </c>
      <c r="M2" s="2">
        <f>AVERAGE(M7:M14)</f>
        <v>236.89673350000001</v>
      </c>
    </row>
    <row r="3" spans="1:30" x14ac:dyDescent="0.2">
      <c r="B3" s="1" t="s">
        <v>2</v>
      </c>
      <c r="C3" s="1" t="s">
        <v>3</v>
      </c>
      <c r="D3" s="61"/>
      <c r="E3" s="3"/>
      <c r="F3" s="4"/>
      <c r="G3" s="5"/>
      <c r="K3"/>
      <c r="L3" t="s">
        <v>4</v>
      </c>
      <c r="M3" s="2">
        <f>STDEV(M7:M14)</f>
        <v>77.981860009306132</v>
      </c>
    </row>
    <row r="4" spans="1:30" ht="16" x14ac:dyDescent="0.2">
      <c r="C4" s="7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0" x14ac:dyDescent="0.2">
      <c r="D5" s="66" t="s">
        <v>53</v>
      </c>
      <c r="E5" s="66"/>
      <c r="F5" s="66" t="s">
        <v>54</v>
      </c>
      <c r="G5" s="66"/>
      <c r="H5" s="66" t="s">
        <v>55</v>
      </c>
      <c r="I5" s="66"/>
      <c r="J5" s="66" t="s">
        <v>56</v>
      </c>
      <c r="K5" s="66"/>
      <c r="L5" s="7" t="s">
        <v>68</v>
      </c>
      <c r="M5" s="61" t="s">
        <v>5</v>
      </c>
      <c r="N5" s="61" t="s">
        <v>6</v>
      </c>
      <c r="O5" s="61" t="s">
        <v>6</v>
      </c>
      <c r="Q5" t="s">
        <v>45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>
        <v>9</v>
      </c>
      <c r="AB5">
        <v>10</v>
      </c>
      <c r="AC5">
        <v>11</v>
      </c>
      <c r="AD5">
        <v>12</v>
      </c>
    </row>
    <row r="6" spans="1:30" x14ac:dyDescent="0.2">
      <c r="C6" s="8"/>
      <c r="D6" s="9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S6">
        <v>60041.693254999998</v>
      </c>
      <c r="T6">
        <v>64255.263077000003</v>
      </c>
      <c r="U6">
        <v>6443.0354630000002</v>
      </c>
      <c r="V6">
        <v>8225.8364199999996</v>
      </c>
      <c r="W6">
        <v>20119.593859000001</v>
      </c>
      <c r="X6">
        <v>23404.505023000002</v>
      </c>
      <c r="Y6">
        <v>42149.961732000003</v>
      </c>
      <c r="Z6">
        <v>45703.795674000001</v>
      </c>
      <c r="AA6">
        <v>154.47471200000001</v>
      </c>
      <c r="AB6">
        <v>313.21342299999998</v>
      </c>
      <c r="AC6" t="s">
        <v>46</v>
      </c>
      <c r="AD6" t="s">
        <v>46</v>
      </c>
    </row>
    <row r="7" spans="1:30" x14ac:dyDescent="0.2">
      <c r="A7" t="s">
        <v>7</v>
      </c>
      <c r="B7" s="48" t="s">
        <v>7</v>
      </c>
      <c r="C7" s="49" t="s">
        <v>8</v>
      </c>
      <c r="D7" s="10">
        <v>60041.693254999998</v>
      </c>
      <c r="E7" s="10">
        <v>64255.263077000003</v>
      </c>
      <c r="F7" s="10">
        <v>6443.0354630000002</v>
      </c>
      <c r="G7" s="10">
        <v>8225.8364199999996</v>
      </c>
      <c r="H7" s="10">
        <v>20119.593859000001</v>
      </c>
      <c r="I7" s="10">
        <v>23404.505023000002</v>
      </c>
      <c r="J7" s="10">
        <v>42149.961732000003</v>
      </c>
      <c r="K7" s="10">
        <v>45703.795674000001</v>
      </c>
      <c r="L7" s="10">
        <v>154.47471200000001</v>
      </c>
      <c r="M7" s="10">
        <v>313.21342299999998</v>
      </c>
      <c r="N7" s="10">
        <v>0</v>
      </c>
      <c r="O7" s="10">
        <v>0</v>
      </c>
      <c r="S7">
        <v>42455.272236999997</v>
      </c>
      <c r="T7">
        <v>41954.563175000003</v>
      </c>
      <c r="U7">
        <v>6784.9416570000003</v>
      </c>
      <c r="V7">
        <v>9080.6078429999998</v>
      </c>
      <c r="W7">
        <v>16578.280994000001</v>
      </c>
      <c r="X7">
        <v>19215.944447000002</v>
      </c>
      <c r="Y7">
        <v>34773.756442999998</v>
      </c>
      <c r="Z7">
        <v>46631.951829999998</v>
      </c>
      <c r="AA7">
        <v>191.10671500000001</v>
      </c>
      <c r="AB7">
        <v>386.47747199999998</v>
      </c>
      <c r="AC7" t="s">
        <v>46</v>
      </c>
      <c r="AD7" t="s">
        <v>46</v>
      </c>
    </row>
    <row r="8" spans="1:30" x14ac:dyDescent="0.2">
      <c r="A8" t="s">
        <v>9</v>
      </c>
      <c r="B8" s="48" t="s">
        <v>9</v>
      </c>
      <c r="C8" s="50" t="s">
        <v>65</v>
      </c>
      <c r="D8" s="10">
        <v>42455.272236999997</v>
      </c>
      <c r="E8" s="10">
        <v>41954.563175000003</v>
      </c>
      <c r="F8" s="10">
        <v>6784.9416570000003</v>
      </c>
      <c r="G8" s="10">
        <v>9080.6078429999998</v>
      </c>
      <c r="H8" s="10">
        <v>16578.280994000001</v>
      </c>
      <c r="I8" s="10">
        <v>19215.944447000002</v>
      </c>
      <c r="J8" s="10">
        <v>34773.756442999998</v>
      </c>
      <c r="K8" s="10">
        <v>46631.951829999998</v>
      </c>
      <c r="L8" s="10">
        <v>191.10671500000001</v>
      </c>
      <c r="M8" s="10">
        <v>386.47747199999998</v>
      </c>
      <c r="N8" s="10">
        <v>0</v>
      </c>
      <c r="O8" s="10">
        <v>0</v>
      </c>
      <c r="S8">
        <v>68749.804216000004</v>
      </c>
      <c r="T8">
        <v>75821.517764999997</v>
      </c>
      <c r="U8">
        <v>6101.1296679999996</v>
      </c>
      <c r="V8">
        <v>8543.3226579999991</v>
      </c>
      <c r="W8">
        <v>19704.403243000001</v>
      </c>
      <c r="X8">
        <v>20754.592408</v>
      </c>
      <c r="Y8">
        <v>52127.673414999997</v>
      </c>
      <c r="Z8">
        <v>49196.609099000001</v>
      </c>
      <c r="AA8">
        <v>301.00274999999999</v>
      </c>
      <c r="AB8">
        <v>264.37073400000003</v>
      </c>
      <c r="AC8" t="s">
        <v>46</v>
      </c>
      <c r="AD8" t="s">
        <v>46</v>
      </c>
    </row>
    <row r="9" spans="1:30" x14ac:dyDescent="0.2">
      <c r="A9" t="s">
        <v>11</v>
      </c>
      <c r="B9" s="48" t="s">
        <v>11</v>
      </c>
      <c r="C9" s="51" t="s">
        <v>64</v>
      </c>
      <c r="D9" s="10">
        <v>68749.804216000004</v>
      </c>
      <c r="E9" s="10">
        <v>75821.517764999997</v>
      </c>
      <c r="F9" s="10">
        <v>6101.1296679999996</v>
      </c>
      <c r="G9" s="10">
        <v>8543.3226579999991</v>
      </c>
      <c r="H9" s="10">
        <v>19704.403243000001</v>
      </c>
      <c r="I9" s="10">
        <v>20754.592408</v>
      </c>
      <c r="J9" s="10">
        <v>52127.673414999997</v>
      </c>
      <c r="K9" s="10">
        <v>49196.609099000001</v>
      </c>
      <c r="L9" s="10">
        <v>301.00274999999999</v>
      </c>
      <c r="M9" s="10">
        <v>264.37073400000003</v>
      </c>
      <c r="N9" s="10">
        <v>0</v>
      </c>
      <c r="O9" s="10">
        <v>0</v>
      </c>
      <c r="S9">
        <v>23050.367850999999</v>
      </c>
      <c r="T9">
        <v>27703.031662000001</v>
      </c>
      <c r="U9">
        <v>6443.0354630000002</v>
      </c>
      <c r="V9">
        <v>8323.5244569999995</v>
      </c>
      <c r="W9">
        <v>2218.0846510000001</v>
      </c>
      <c r="X9">
        <v>3072.8385790000002</v>
      </c>
      <c r="Y9">
        <v>15735.699052</v>
      </c>
      <c r="Z9">
        <v>15943.29148</v>
      </c>
      <c r="AA9">
        <v>239.94939199999999</v>
      </c>
      <c r="AB9">
        <v>166.68537900000001</v>
      </c>
      <c r="AC9" t="s">
        <v>46</v>
      </c>
      <c r="AD9" t="s">
        <v>46</v>
      </c>
    </row>
    <row r="10" spans="1:30" x14ac:dyDescent="0.2">
      <c r="A10" t="s">
        <v>12</v>
      </c>
      <c r="B10" s="48" t="s">
        <v>12</v>
      </c>
      <c r="C10" s="52" t="s">
        <v>13</v>
      </c>
      <c r="D10" s="10">
        <v>23050.367850999999</v>
      </c>
      <c r="E10" s="10">
        <v>27703.031662000001</v>
      </c>
      <c r="F10" s="10">
        <v>6443.0354630000002</v>
      </c>
      <c r="G10" s="10">
        <v>8323.5244569999995</v>
      </c>
      <c r="H10" s="10">
        <v>2218.0846510000001</v>
      </c>
      <c r="I10" s="10">
        <v>3072.8385790000002</v>
      </c>
      <c r="J10" s="10">
        <v>15735.699052</v>
      </c>
      <c r="K10" s="10">
        <v>15943.29148</v>
      </c>
      <c r="L10" s="10">
        <v>239.94939199999999</v>
      </c>
      <c r="M10" s="10">
        <v>166.68537900000001</v>
      </c>
      <c r="N10" s="10">
        <v>0</v>
      </c>
      <c r="O10" s="10">
        <v>0</v>
      </c>
      <c r="S10">
        <v>1424.386804</v>
      </c>
      <c r="T10">
        <v>1265.6474920000001</v>
      </c>
      <c r="U10">
        <v>1399.965365</v>
      </c>
      <c r="V10">
        <v>1546.494025</v>
      </c>
      <c r="W10">
        <v>862.69423900000004</v>
      </c>
      <c r="X10">
        <v>1216.8046440000001</v>
      </c>
      <c r="Y10">
        <v>1302.2796330000001</v>
      </c>
      <c r="Z10">
        <v>1461.018965</v>
      </c>
      <c r="AA10">
        <v>191.10671500000001</v>
      </c>
      <c r="AB10">
        <v>191.10671500000001</v>
      </c>
      <c r="AC10" t="s">
        <v>46</v>
      </c>
      <c r="AD10" t="s">
        <v>46</v>
      </c>
    </row>
    <row r="11" spans="1:30" x14ac:dyDescent="0.2">
      <c r="A11" t="s">
        <v>14</v>
      </c>
      <c r="B11" s="48" t="s">
        <v>14</v>
      </c>
      <c r="C11" s="53" t="s">
        <v>15</v>
      </c>
      <c r="D11" s="10">
        <v>1424.386804</v>
      </c>
      <c r="E11" s="10">
        <v>1265.6474920000001</v>
      </c>
      <c r="F11" s="10">
        <v>1399.965365</v>
      </c>
      <c r="G11" s="10">
        <v>1546.494025</v>
      </c>
      <c r="H11" s="10">
        <v>862.69423900000004</v>
      </c>
      <c r="I11" s="10">
        <v>1216.8046440000001</v>
      </c>
      <c r="J11" s="10">
        <v>1302.2796330000001</v>
      </c>
      <c r="K11" s="10">
        <v>1461.018965</v>
      </c>
      <c r="L11" s="10">
        <v>191.10671500000001</v>
      </c>
      <c r="M11" s="10">
        <v>191.10671500000001</v>
      </c>
      <c r="N11" s="10">
        <v>0</v>
      </c>
      <c r="O11" s="10">
        <v>0</v>
      </c>
      <c r="S11">
        <v>11437.347658000001</v>
      </c>
      <c r="T11">
        <v>17054.524031000001</v>
      </c>
      <c r="U11">
        <v>5710.3806750000003</v>
      </c>
      <c r="V11">
        <v>7480.9662099999996</v>
      </c>
      <c r="W11">
        <v>2816.412139</v>
      </c>
      <c r="X11">
        <v>2401.245997</v>
      </c>
      <c r="Y11">
        <v>9691.1603830000004</v>
      </c>
      <c r="Z11">
        <v>9251.5624260000004</v>
      </c>
      <c r="AA11">
        <v>166.68537900000001</v>
      </c>
      <c r="AB11">
        <v>203.31738300000001</v>
      </c>
      <c r="AC11" t="s">
        <v>46</v>
      </c>
      <c r="AD11" t="s">
        <v>46</v>
      </c>
    </row>
    <row r="12" spans="1:30" x14ac:dyDescent="0.2">
      <c r="A12" t="s">
        <v>16</v>
      </c>
      <c r="B12" s="48" t="s">
        <v>16</v>
      </c>
      <c r="C12" s="54" t="s">
        <v>17</v>
      </c>
      <c r="D12" s="10">
        <v>11437.347658000001</v>
      </c>
      <c r="E12" s="10">
        <v>17054.524031000001</v>
      </c>
      <c r="F12" s="10">
        <v>5710.3806750000003</v>
      </c>
      <c r="G12" s="10">
        <v>7480.9662099999996</v>
      </c>
      <c r="H12" s="10">
        <v>2816.412139</v>
      </c>
      <c r="I12" s="10">
        <v>2401.245997</v>
      </c>
      <c r="J12" s="10">
        <v>9691.1603830000004</v>
      </c>
      <c r="K12" s="10">
        <v>9251.5624260000004</v>
      </c>
      <c r="L12" s="10">
        <v>166.68537900000001</v>
      </c>
      <c r="M12" s="10">
        <v>203.31738300000001</v>
      </c>
      <c r="N12" s="10">
        <v>0</v>
      </c>
      <c r="O12" s="10">
        <v>0</v>
      </c>
      <c r="S12">
        <v>349.84544499999998</v>
      </c>
      <c r="T12">
        <v>264.37073400000003</v>
      </c>
      <c r="U12">
        <v>337.634771</v>
      </c>
      <c r="V12">
        <v>227.738722</v>
      </c>
      <c r="W12">
        <v>301.00274999999999</v>
      </c>
      <c r="X12">
        <v>337.634771</v>
      </c>
      <c r="Y12">
        <v>178.89604700000001</v>
      </c>
      <c r="Z12">
        <v>117.842714</v>
      </c>
      <c r="AA12">
        <v>191.10671500000001</v>
      </c>
      <c r="AB12">
        <v>191.10671500000001</v>
      </c>
      <c r="AC12" t="s">
        <v>46</v>
      </c>
      <c r="AD12" t="s">
        <v>46</v>
      </c>
    </row>
    <row r="13" spans="1:30" x14ac:dyDescent="0.2">
      <c r="A13" t="s">
        <v>18</v>
      </c>
      <c r="B13" s="48" t="s">
        <v>18</v>
      </c>
      <c r="C13" s="55" t="s">
        <v>19</v>
      </c>
      <c r="D13" s="10">
        <v>349.84544499999998</v>
      </c>
      <c r="E13" s="10">
        <v>264.37073400000003</v>
      </c>
      <c r="F13" s="10">
        <v>337.634771</v>
      </c>
      <c r="G13" s="10">
        <v>227.738722</v>
      </c>
      <c r="H13" s="10">
        <v>301.00274999999999</v>
      </c>
      <c r="I13" s="10">
        <v>337.634771</v>
      </c>
      <c r="J13" s="10">
        <v>178.89604700000001</v>
      </c>
      <c r="K13" s="10">
        <v>117.842714</v>
      </c>
      <c r="L13" s="10">
        <v>191.10671500000001</v>
      </c>
      <c r="M13" s="10">
        <v>191.10671500000001</v>
      </c>
      <c r="N13" s="10">
        <v>0</v>
      </c>
      <c r="O13" s="10">
        <v>0</v>
      </c>
      <c r="S13">
        <v>12804.998092</v>
      </c>
      <c r="T13">
        <v>11437.347658000001</v>
      </c>
      <c r="U13">
        <v>5075.4146710000005</v>
      </c>
      <c r="V13">
        <v>5808.0678740000003</v>
      </c>
      <c r="W13">
        <v>1925.026734</v>
      </c>
      <c r="X13">
        <v>1815.130091</v>
      </c>
      <c r="Y13">
        <v>6198.8169969999999</v>
      </c>
      <c r="Z13">
        <v>5588.2717210000001</v>
      </c>
      <c r="AA13">
        <v>142.26404600000001</v>
      </c>
      <c r="AB13">
        <v>178.89604700000001</v>
      </c>
      <c r="AC13" t="s">
        <v>46</v>
      </c>
      <c r="AD13" t="s">
        <v>46</v>
      </c>
    </row>
    <row r="14" spans="1:30" x14ac:dyDescent="0.2">
      <c r="A14" t="s">
        <v>20</v>
      </c>
      <c r="B14" s="48" t="s">
        <v>20</v>
      </c>
      <c r="C14" s="56" t="s">
        <v>21</v>
      </c>
      <c r="D14" s="10">
        <v>12804.998092</v>
      </c>
      <c r="E14" s="10">
        <v>11437.347658000001</v>
      </c>
      <c r="F14" s="10">
        <v>5075.4146710000005</v>
      </c>
      <c r="G14" s="10">
        <v>5808.0678740000003</v>
      </c>
      <c r="H14" s="10">
        <v>1925.026734</v>
      </c>
      <c r="I14" s="10">
        <v>1815.130091</v>
      </c>
      <c r="J14" s="10">
        <v>6198.8169969999999</v>
      </c>
      <c r="K14" s="10">
        <v>5588.2717210000001</v>
      </c>
      <c r="L14" s="10">
        <v>142.26404600000001</v>
      </c>
      <c r="M14" s="10">
        <v>178.89604700000001</v>
      </c>
      <c r="N14" s="10">
        <v>0</v>
      </c>
      <c r="O14" s="10">
        <v>0</v>
      </c>
    </row>
    <row r="16" spans="1:30" ht="16" x14ac:dyDescent="0.2">
      <c r="C16" s="1"/>
      <c r="J16" s="12"/>
      <c r="K16"/>
      <c r="L16" s="68" t="s">
        <v>22</v>
      </c>
      <c r="P16" s="13" t="s">
        <v>23</v>
      </c>
      <c r="S16" s="14"/>
      <c r="U16" s="15"/>
    </row>
    <row r="17" spans="2:22" ht="16" x14ac:dyDescent="0.2">
      <c r="D17" s="7" t="s">
        <v>53</v>
      </c>
      <c r="E17" s="7" t="s">
        <v>54</v>
      </c>
      <c r="F17" s="7" t="s">
        <v>55</v>
      </c>
      <c r="G17" s="7" t="s">
        <v>56</v>
      </c>
      <c r="H17" s="7" t="s">
        <v>67</v>
      </c>
      <c r="I17" s="61" t="s">
        <v>5</v>
      </c>
      <c r="J17" s="16" t="s">
        <v>24</v>
      </c>
      <c r="K17" s="1" t="s">
        <v>25</v>
      </c>
      <c r="L17" s="68"/>
      <c r="M17" s="1" t="s">
        <v>26</v>
      </c>
      <c r="P17" s="65" t="s">
        <v>27</v>
      </c>
      <c r="Q17" s="65"/>
      <c r="R17" s="65"/>
      <c r="S17" s="65" t="s">
        <v>28</v>
      </c>
      <c r="T17" s="65"/>
      <c r="U17" s="62" t="s">
        <v>29</v>
      </c>
      <c r="V17" s="62" t="s">
        <v>8</v>
      </c>
    </row>
    <row r="18" spans="2:22" x14ac:dyDescent="0.2">
      <c r="B18" s="48" t="s">
        <v>7</v>
      </c>
      <c r="C18" s="49" t="s">
        <v>8</v>
      </c>
      <c r="D18" s="18">
        <f>AVERAGE(D7:E7)</f>
        <v>62148.478166000001</v>
      </c>
      <c r="E18" s="18">
        <f>AVERAGE(F7:G7)</f>
        <v>7334.4359414999999</v>
      </c>
      <c r="F18" s="18">
        <f>AVERAGE(H7:I7)</f>
        <v>21762.049441000003</v>
      </c>
      <c r="G18" s="18">
        <f>AVERAGE(J7:K7)</f>
        <v>43926.878703000002</v>
      </c>
      <c r="H18" s="18">
        <f>AVERAGE(L7)</f>
        <v>154.47471200000001</v>
      </c>
      <c r="I18" s="18">
        <f>AVERAGE(M7)</f>
        <v>313.21342299999998</v>
      </c>
      <c r="J18" s="18">
        <f>AVERAGE((IF(D18&gt;$U$19,D18,"")),(IF(E18&gt;$U$19,E18,"")),(IF(F18&gt;$U$19,F18,"")),(IF(G18&gt;$U$19,G18,"")))</f>
        <v>33792.960562875</v>
      </c>
      <c r="K18" s="19"/>
      <c r="L18" s="19"/>
      <c r="M18" s="19"/>
      <c r="P18" s="64" t="s">
        <v>30</v>
      </c>
      <c r="Q18" s="64"/>
      <c r="R18" s="64"/>
      <c r="S18" s="69" t="s">
        <v>31</v>
      </c>
      <c r="T18" s="69"/>
      <c r="U18" s="20">
        <f>AVERAGE(M8:M14)</f>
        <v>225.99434928571426</v>
      </c>
      <c r="V18" s="20">
        <f>M7</f>
        <v>313.21342299999998</v>
      </c>
    </row>
    <row r="19" spans="2:22" x14ac:dyDescent="0.2">
      <c r="B19" s="48" t="s">
        <v>9</v>
      </c>
      <c r="C19" s="50" t="s">
        <v>65</v>
      </c>
      <c r="D19" s="18">
        <f>AVERAGE(D8:E8)</f>
        <v>42204.917706</v>
      </c>
      <c r="E19" s="18">
        <f>AVERAGE(F8:G8)</f>
        <v>7932.7747500000005</v>
      </c>
      <c r="F19" s="18">
        <f>AVERAGE(H8:I8)</f>
        <v>17897.112720500001</v>
      </c>
      <c r="G19" s="18">
        <f>AVERAGE(J8:K8)</f>
        <v>40702.854136499998</v>
      </c>
      <c r="H19" s="18">
        <f>AVERAGE(L8)</f>
        <v>191.10671500000001</v>
      </c>
      <c r="I19" s="18">
        <f>AVERAGE(M8)</f>
        <v>386.47747199999998</v>
      </c>
      <c r="J19" s="18">
        <f>AVERAGE((IF(D19&gt;$U$19,D19-$U$19,0)),(IF(E19&gt;$U$19,E19-$U$19,0)),(IF(F19&gt;$U$19,F19-$U$19,0)),(IF(G19&gt;$U$19,G19-$U$19,0)))</f>
        <v>26635.590654712774</v>
      </c>
      <c r="K19" s="30">
        <v>1.125</v>
      </c>
      <c r="L19" s="18">
        <f>K19*J19</f>
        <v>29965.039486551872</v>
      </c>
      <c r="M19" s="22">
        <f>L19/$L$21</f>
        <v>0.6516400293383523</v>
      </c>
      <c r="P19" s="64" t="s">
        <v>32</v>
      </c>
      <c r="Q19" s="64"/>
      <c r="R19" s="64"/>
      <c r="S19" s="64" t="s">
        <v>33</v>
      </c>
      <c r="T19" s="64"/>
      <c r="U19" s="20">
        <f>AVERAGE(M7:M14)+(4*M3)</f>
        <v>548.82417353722451</v>
      </c>
      <c r="V19" s="20">
        <f>U19</f>
        <v>548.82417353722451</v>
      </c>
    </row>
    <row r="20" spans="2:22" x14ac:dyDescent="0.2">
      <c r="B20" s="48" t="s">
        <v>11</v>
      </c>
      <c r="C20" s="51" t="s">
        <v>64</v>
      </c>
      <c r="D20" s="18">
        <f>AVERAGE(D9:E9)</f>
        <v>72285.660990500008</v>
      </c>
      <c r="E20" s="18">
        <f>AVERAGE(F9:G9)</f>
        <v>7322.2261629999994</v>
      </c>
      <c r="F20" s="18">
        <f>AVERAGE(H9:I9)</f>
        <v>20229.497825500002</v>
      </c>
      <c r="G20" s="18">
        <f>AVERAGE(J9:K9)</f>
        <v>50662.141256999996</v>
      </c>
      <c r="H20" s="18">
        <f>AVERAGE(L9)</f>
        <v>301.00274999999999</v>
      </c>
      <c r="I20" s="18">
        <f>AVERAGE(M9)</f>
        <v>264.37073400000003</v>
      </c>
      <c r="J20" s="18">
        <f>AVERAGE((IF(D20&gt;$U$19,D20-$U$19,0)),(IF(E20&gt;$U$19,E20-$U$19,0)),(IF(F20&gt;$U$19,F20-$U$19,0)),(IF(G20&gt;$U$19,G20-$U$19,0)))</f>
        <v>37076.057385462773</v>
      </c>
      <c r="K20" s="30">
        <v>1.125</v>
      </c>
      <c r="L20" s="18">
        <f>K20*J20</f>
        <v>41710.564558645623</v>
      </c>
      <c r="M20" s="22">
        <f>L20/$L$21</f>
        <v>0.90706616705489118</v>
      </c>
      <c r="P20" s="64" t="s">
        <v>62</v>
      </c>
      <c r="Q20" s="64"/>
      <c r="R20" s="64"/>
      <c r="S20" s="64" t="s">
        <v>34</v>
      </c>
      <c r="T20" s="64"/>
      <c r="U20" s="23">
        <f>ROUNDUP((COUNTIF(D8:K9,"&gt;"&amp;U19)/4),0)</f>
        <v>4</v>
      </c>
      <c r="V20" s="23">
        <f>ROUNDUP((COUNTIF(D7:K7,"&gt;"&amp;V19)/2),0)</f>
        <v>4</v>
      </c>
    </row>
    <row r="21" spans="2:22" x14ac:dyDescent="0.2">
      <c r="B21" s="48" t="s">
        <v>12</v>
      </c>
      <c r="C21" s="52" t="s">
        <v>13</v>
      </c>
      <c r="D21" s="18">
        <f>AVERAGE(D10:E10)</f>
        <v>25376.699756499998</v>
      </c>
      <c r="E21" s="18">
        <f>AVERAGE(F10:G10)</f>
        <v>7383.2799599999998</v>
      </c>
      <c r="F21" s="18">
        <f>AVERAGE(H10:I10)</f>
        <v>2645.4616150000002</v>
      </c>
      <c r="G21" s="18">
        <f>AVERAGE(J10:K10)</f>
        <v>15839.495266</v>
      </c>
      <c r="H21" s="18">
        <f>AVERAGE(L10)</f>
        <v>239.94939199999999</v>
      </c>
      <c r="I21" s="18">
        <f>AVERAGE(M10)</f>
        <v>166.68537900000001</v>
      </c>
      <c r="J21" s="18">
        <f>AVERAGE((IF(D21&gt;$U$19,D21-$U$19,0)),(IF(E21&gt;$U$19,E21-$U$19,0)),(IF(F21&gt;$U$19,F21-$U$19,0)),(IF(G21&gt;$U$19,G21-$U$19,0)))</f>
        <v>12262.409975837776</v>
      </c>
      <c r="K21" s="21">
        <v>3.75</v>
      </c>
      <c r="L21" s="18">
        <f>K21*J21</f>
        <v>45984.037409391662</v>
      </c>
      <c r="M21" s="22">
        <f>L21/$L$21</f>
        <v>1</v>
      </c>
      <c r="P21" s="64" t="s">
        <v>63</v>
      </c>
      <c r="Q21" s="64"/>
      <c r="R21" s="64"/>
      <c r="S21" s="64" t="s">
        <v>35</v>
      </c>
      <c r="T21" s="64"/>
      <c r="U21" s="24">
        <f>(COUNTIF(L9,"&lt;"&amp;U19)+COUNTIF(L8,"&lt;"&amp;U19))/2</f>
        <v>1</v>
      </c>
      <c r="V21" s="24">
        <f>(COUNTIF(L7,"&lt;"&amp;V19))</f>
        <v>1</v>
      </c>
    </row>
    <row r="22" spans="2:22" x14ac:dyDescent="0.2">
      <c r="B22" s="48" t="s">
        <v>14</v>
      </c>
      <c r="C22" s="53" t="s">
        <v>15</v>
      </c>
      <c r="D22" s="18">
        <f>AVERAGE(D11:E11)</f>
        <v>1345.0171479999999</v>
      </c>
      <c r="E22" s="18">
        <f>AVERAGE(F11:G11)</f>
        <v>1473.229695</v>
      </c>
      <c r="F22" s="18">
        <f>AVERAGE(H11:I11)</f>
        <v>1039.7494415000001</v>
      </c>
      <c r="G22" s="18">
        <f>AVERAGE(J11:K11)</f>
        <v>1381.6492990000002</v>
      </c>
      <c r="H22" s="18">
        <f>AVERAGE(L11)</f>
        <v>191.10671500000001</v>
      </c>
      <c r="I22" s="18">
        <f>AVERAGE(M11)</f>
        <v>191.10671500000001</v>
      </c>
      <c r="J22" s="18">
        <f>AVERAGE((IF(D22&gt;$U$19,D22-$U$19,0)),(IF(E22&gt;$U$19,E22-$U$19,0)),(IF(F22&gt;$U$19,F22-$U$19,0)),(IF(G22&gt;$U$19,G22-$U$19,0)))</f>
        <v>761.08722233777553</v>
      </c>
      <c r="K22" s="25">
        <f>K21*2</f>
        <v>7.5</v>
      </c>
      <c r="L22" s="18">
        <f>K22*J22</f>
        <v>5708.1541675333165</v>
      </c>
      <c r="M22" s="22">
        <f>L22/$L$21</f>
        <v>0.12413338386784406</v>
      </c>
      <c r="P22" s="26"/>
      <c r="S22" s="26"/>
      <c r="U22" s="27"/>
    </row>
    <row r="23" spans="2:22" ht="16" x14ac:dyDescent="0.2">
      <c r="B23" s="48" t="s">
        <v>16</v>
      </c>
      <c r="C23" s="54" t="s">
        <v>17</v>
      </c>
      <c r="D23" s="18">
        <f>AVERAGE(D12:E12)</f>
        <v>14245.9358445</v>
      </c>
      <c r="E23" s="18">
        <f>AVERAGE(F12:G12)</f>
        <v>6595.6734424999995</v>
      </c>
      <c r="F23" s="18">
        <f>AVERAGE(H12:I12)</f>
        <v>2608.829068</v>
      </c>
      <c r="G23" s="18">
        <f>AVERAGE(J12:K12)</f>
        <v>9471.3614044999995</v>
      </c>
      <c r="H23" s="18">
        <f>AVERAGE(L12)</f>
        <v>166.68537900000001</v>
      </c>
      <c r="I23" s="18">
        <f>AVERAGE(M12)</f>
        <v>203.31738300000001</v>
      </c>
      <c r="J23" s="18">
        <f>AVERAGE((IF(D23&gt;$U$19,D23-$U$19,0)),(IF(E23&gt;$U$19,E23-$U$19,0)),(IF(F23&gt;$U$19,F23-$U$19,0)),(IF(G23&gt;$U$19,G23-$U$19,0)))</f>
        <v>7681.6257663377746</v>
      </c>
      <c r="K23" s="25">
        <f>K22</f>
        <v>7.5</v>
      </c>
      <c r="L23" s="18">
        <f>K23*J23</f>
        <v>57612.193247533309</v>
      </c>
      <c r="M23" s="22">
        <f>L23/$L$21</f>
        <v>1.2528737469182456</v>
      </c>
      <c r="P23" s="28" t="s">
        <v>36</v>
      </c>
      <c r="S23" s="26"/>
      <c r="U23" s="29"/>
    </row>
    <row r="24" spans="2:22" ht="16" x14ac:dyDescent="0.2">
      <c r="B24" s="48" t="s">
        <v>18</v>
      </c>
      <c r="C24" s="55" t="s">
        <v>19</v>
      </c>
      <c r="D24" s="18">
        <f>AVERAGE(D13:E13)</f>
        <v>307.10808950000001</v>
      </c>
      <c r="E24" s="18">
        <f>AVERAGE(F13:G13)</f>
        <v>282.68674650000003</v>
      </c>
      <c r="F24" s="18">
        <f>AVERAGE(H13:I13)</f>
        <v>319.3187605</v>
      </c>
      <c r="G24" s="18">
        <f>AVERAGE(J13:K13)</f>
        <v>148.36938050000001</v>
      </c>
      <c r="H24" s="18">
        <f>AVERAGE(L13)</f>
        <v>191.10671500000001</v>
      </c>
      <c r="I24" s="18">
        <f>AVERAGE(M13)</f>
        <v>191.10671500000001</v>
      </c>
      <c r="J24" s="18">
        <f>AVERAGE((IF(D24&gt;$U$19,D24-$U$19,0)),(IF(E24&gt;$U$19,E24-$U$19,0)),(IF(F24&gt;$U$19,F24-$U$19,0)),(IF(G24&gt;$U$19,G24-$U$19,0)))</f>
        <v>0</v>
      </c>
      <c r="K24" s="30">
        <f>K19</f>
        <v>1.125</v>
      </c>
      <c r="L24" s="18">
        <f>K24*J24</f>
        <v>0</v>
      </c>
      <c r="M24" s="22">
        <f>L24/$L$21</f>
        <v>0</v>
      </c>
      <c r="P24" s="65" t="s">
        <v>37</v>
      </c>
      <c r="Q24" s="65"/>
      <c r="R24" s="65" t="s">
        <v>28</v>
      </c>
      <c r="S24" s="65"/>
      <c r="T24" s="65"/>
      <c r="U24" s="31" t="s">
        <v>29</v>
      </c>
      <c r="V24" s="31" t="s">
        <v>38</v>
      </c>
    </row>
    <row r="25" spans="2:22" x14ac:dyDescent="0.2">
      <c r="B25" s="48" t="s">
        <v>20</v>
      </c>
      <c r="C25" s="56" t="s">
        <v>21</v>
      </c>
      <c r="D25" s="18">
        <f>AVERAGE(D14:E14)</f>
        <v>12121.172875</v>
      </c>
      <c r="E25" s="18">
        <f>AVERAGE(F14:G14)</f>
        <v>5441.7412725000004</v>
      </c>
      <c r="F25" s="18">
        <f>AVERAGE(H14:I14)</f>
        <v>1870.0784125</v>
      </c>
      <c r="G25" s="18">
        <f>AVERAGE(J14:K14)</f>
        <v>5893.5443589999995</v>
      </c>
      <c r="H25" s="18">
        <f>AVERAGE(L14)</f>
        <v>142.26404600000001</v>
      </c>
      <c r="I25" s="18">
        <f>AVERAGE(M14)</f>
        <v>178.89604700000001</v>
      </c>
      <c r="J25" s="18">
        <f>AVERAGE((IF(D25&gt;$U$19,D25-$U$19,0)),(IF(E25&gt;$U$19,E25-$U$19,0)),(IF(F25&gt;$U$19,F25-$U$19,0)),(IF(G25&gt;$U$19,G25-$U$19,0)))</f>
        <v>5782.8100562127747</v>
      </c>
      <c r="K25" s="21">
        <f>K19*2</f>
        <v>2.25</v>
      </c>
      <c r="L25" s="18">
        <f>K25*J25</f>
        <v>13011.322626478743</v>
      </c>
      <c r="M25" s="22">
        <f>L25/$L$21</f>
        <v>0.28295302803971151</v>
      </c>
      <c r="P25" s="70" t="s">
        <v>53</v>
      </c>
      <c r="Q25" s="70"/>
      <c r="R25" s="32">
        <v>0.9</v>
      </c>
      <c r="S25" s="33" t="s">
        <v>39</v>
      </c>
      <c r="T25" s="34">
        <v>1.25</v>
      </c>
      <c r="U25" s="35">
        <f>D26</f>
        <v>1.0501603291519275</v>
      </c>
      <c r="V25" s="36" t="str">
        <f>IF(U25&gt;R25,"pass","fail")</f>
        <v>pass</v>
      </c>
    </row>
    <row r="26" spans="2:22" x14ac:dyDescent="0.2">
      <c r="B26" s="11"/>
      <c r="C26" s="37" t="s">
        <v>66</v>
      </c>
      <c r="D26" s="38">
        <f>LOG(D19)/LOG(D21)</f>
        <v>1.0501603291519275</v>
      </c>
      <c r="E26" s="38">
        <f>LOG(E19)/LOG(E21)</f>
        <v>1.0080594045682159</v>
      </c>
      <c r="F26" s="38">
        <f>LOG(F19)/LOG(F21)</f>
        <v>1.2425949316973373</v>
      </c>
      <c r="G26" s="38">
        <f>LOG(G19)/LOG(G21)</f>
        <v>1.0975973261449989</v>
      </c>
      <c r="H26" s="61"/>
      <c r="I26" s="61"/>
      <c r="J26" s="61"/>
      <c r="K26"/>
      <c r="L26" t="s">
        <v>41</v>
      </c>
      <c r="M26" s="11">
        <f>SUM(M23:M25,M19)</f>
        <v>2.1874668042963092</v>
      </c>
      <c r="P26" s="70" t="s">
        <v>54</v>
      </c>
      <c r="Q26" s="70"/>
      <c r="R26" s="32">
        <v>0.95</v>
      </c>
      <c r="S26" s="33" t="s">
        <v>39</v>
      </c>
      <c r="T26" s="34">
        <v>1.25</v>
      </c>
      <c r="U26" s="35">
        <f>E26</f>
        <v>1.0080594045682159</v>
      </c>
      <c r="V26" s="36" t="str">
        <f>IF(U26&gt;R26,"pass","fail")</f>
        <v>pass</v>
      </c>
    </row>
    <row r="27" spans="2:22" x14ac:dyDescent="0.2">
      <c r="H27" s="2"/>
      <c r="I27" s="2"/>
      <c r="J27" s="2"/>
      <c r="K27"/>
      <c r="P27" s="70" t="s">
        <v>55</v>
      </c>
      <c r="Q27" s="70"/>
      <c r="R27" s="32">
        <v>0.95</v>
      </c>
      <c r="S27" s="33" t="s">
        <v>39</v>
      </c>
      <c r="T27" s="34">
        <v>1.5</v>
      </c>
      <c r="U27" s="35">
        <f>F26</f>
        <v>1.2425949316973373</v>
      </c>
      <c r="V27" s="36" t="str">
        <f>IF(U27&gt;R27,"pass","fail")</f>
        <v>pass</v>
      </c>
    </row>
    <row r="28" spans="2:22" x14ac:dyDescent="0.2">
      <c r="B28" s="1" t="s">
        <v>42</v>
      </c>
      <c r="D28" s="7" t="s">
        <v>53</v>
      </c>
      <c r="E28" s="7" t="s">
        <v>54</v>
      </c>
      <c r="F28" s="7" t="s">
        <v>55</v>
      </c>
      <c r="G28" s="7" t="s">
        <v>56</v>
      </c>
      <c r="K28" s="7" t="s">
        <v>53</v>
      </c>
      <c r="L28" s="7" t="s">
        <v>54</v>
      </c>
      <c r="M28" s="7" t="s">
        <v>55</v>
      </c>
      <c r="N28" s="7" t="s">
        <v>56</v>
      </c>
      <c r="P28" s="70" t="s">
        <v>56</v>
      </c>
      <c r="Q28" s="70"/>
      <c r="R28" s="32">
        <v>0.95</v>
      </c>
      <c r="S28" s="33" t="s">
        <v>39</v>
      </c>
      <c r="T28" s="34">
        <v>1.5</v>
      </c>
      <c r="U28" s="35">
        <f>G26</f>
        <v>1.0975973261449989</v>
      </c>
      <c r="V28" s="36" t="str">
        <f>IF(U28&gt;R28,"pass","fail")</f>
        <v>pass</v>
      </c>
    </row>
    <row r="29" spans="2:22" x14ac:dyDescent="0.2">
      <c r="B29" s="48" t="s">
        <v>7</v>
      </c>
      <c r="C29" s="49" t="s">
        <v>8</v>
      </c>
      <c r="D29" s="2">
        <f>STDEV(D7:E7)</f>
        <v>2979.4437941391975</v>
      </c>
      <c r="E29" s="2">
        <f>STDEV(F7:G7)</f>
        <v>1260.6306462005666</v>
      </c>
      <c r="F29" s="2">
        <f>STDEV(H7:I7)</f>
        <v>2322.7829596597958</v>
      </c>
      <c r="G29" s="2">
        <f>STDEV(J7:K7)</f>
        <v>2512.9400795991178</v>
      </c>
      <c r="I29" s="48" t="s">
        <v>7</v>
      </c>
      <c r="J29" s="49" t="s">
        <v>8</v>
      </c>
      <c r="K29" s="39">
        <f>D29/D18</f>
        <v>4.7940736154166726E-2</v>
      </c>
      <c r="L29" s="39">
        <f>E29/E18</f>
        <v>0.17187833614683518</v>
      </c>
      <c r="M29" s="39">
        <f>F29/F18</f>
        <v>0.10673548766430245</v>
      </c>
      <c r="N29" s="39">
        <f>G29/G18</f>
        <v>5.7207344427763672E-2</v>
      </c>
      <c r="P29" s="26"/>
      <c r="U29" s="27"/>
    </row>
    <row r="30" spans="2:22" x14ac:dyDescent="0.2">
      <c r="B30" s="48" t="s">
        <v>9</v>
      </c>
      <c r="C30" s="50" t="s">
        <v>65</v>
      </c>
      <c r="D30" s="2">
        <f>STDEV(D8:E8)</f>
        <v>354.05477314175153</v>
      </c>
      <c r="E30" s="2">
        <f>STDEV(F8:G8)</f>
        <v>1623.2811274612498</v>
      </c>
      <c r="F30" s="2">
        <f>STDEV(H8:I8)</f>
        <v>1865.1097141042251</v>
      </c>
      <c r="G30" s="2">
        <f>STDEV(J8:K8)</f>
        <v>8385.0103707827184</v>
      </c>
      <c r="I30" s="48" t="s">
        <v>9</v>
      </c>
      <c r="J30" s="50" t="s">
        <v>65</v>
      </c>
      <c r="K30" s="39">
        <f>D30/D19</f>
        <v>8.3889459424634268E-3</v>
      </c>
      <c r="L30" s="39">
        <f>E30/E19</f>
        <v>0.20462967607409371</v>
      </c>
      <c r="M30" s="39">
        <f>F30/F19</f>
        <v>0.10421288300698139</v>
      </c>
      <c r="N30" s="39">
        <f>G30/G19</f>
        <v>0.20600546444883136</v>
      </c>
    </row>
    <row r="31" spans="2:22" x14ac:dyDescent="0.2">
      <c r="B31" s="48" t="s">
        <v>11</v>
      </c>
      <c r="C31" s="51" t="s">
        <v>64</v>
      </c>
      <c r="D31" s="2">
        <f>STDEV(D9:E9)</f>
        <v>5000.4566051066813</v>
      </c>
      <c r="E31" s="2">
        <f>STDEV(F9:G9)</f>
        <v>1726.8912241952526</v>
      </c>
      <c r="F31" s="2">
        <f>STDEV(H9:I9)</f>
        <v>742.59588010013783</v>
      </c>
      <c r="G31" s="2">
        <f>STDEV(J9:K9)</f>
        <v>2072.5754539375071</v>
      </c>
      <c r="I31" s="48" t="s">
        <v>11</v>
      </c>
      <c r="J31" s="51" t="s">
        <v>64</v>
      </c>
      <c r="K31" s="39">
        <f>D31/D20</f>
        <v>6.9176328148453342E-2</v>
      </c>
      <c r="L31" s="39">
        <f>E31/E20</f>
        <v>0.23584237713407716</v>
      </c>
      <c r="M31" s="39">
        <f>F31/F20</f>
        <v>3.6708567187667372E-2</v>
      </c>
      <c r="N31" s="39">
        <f>G31/G20</f>
        <v>4.0909748433720985E-2</v>
      </c>
    </row>
    <row r="32" spans="2:22" x14ac:dyDescent="0.2">
      <c r="B32" s="48" t="s">
        <v>12</v>
      </c>
      <c r="C32" s="52" t="s">
        <v>13</v>
      </c>
      <c r="D32" s="2">
        <f>STDEV(D10:E10)</f>
        <v>3289.9301313393471</v>
      </c>
      <c r="E32" s="2">
        <f>STDEV(F10:G10)</f>
        <v>1329.7065196040692</v>
      </c>
      <c r="F32" s="2">
        <f>STDEV(H10:I10)</f>
        <v>604.40229873463613</v>
      </c>
      <c r="G32" s="2">
        <f>STDEV(J10:K10)</f>
        <v>146.79001356178009</v>
      </c>
      <c r="I32" s="48" t="s">
        <v>12</v>
      </c>
      <c r="J32" s="52" t="s">
        <v>13</v>
      </c>
      <c r="K32" s="39">
        <f>D32/D21</f>
        <v>0.12964373472151999</v>
      </c>
      <c r="L32" s="39">
        <f>E32/E21</f>
        <v>0.18009699304481869</v>
      </c>
      <c r="M32" s="39">
        <f>F32/F21</f>
        <v>0.22846761234698018</v>
      </c>
      <c r="N32" s="39">
        <f>G32/G21</f>
        <v>9.2673416101123948E-3</v>
      </c>
    </row>
    <row r="33" spans="1:14" x14ac:dyDescent="0.2">
      <c r="B33" s="48" t="s">
        <v>14</v>
      </c>
      <c r="C33" s="53" t="s">
        <v>15</v>
      </c>
      <c r="D33" s="2">
        <f>STDEV(D11:E11)</f>
        <v>112.24564395608705</v>
      </c>
      <c r="E33" s="2">
        <f>STDEV(F11:G11)</f>
        <v>103.61140912417798</v>
      </c>
      <c r="F33" s="2">
        <f>STDEV(H11:I11)</f>
        <v>250.39386866421444</v>
      </c>
      <c r="G33" s="2">
        <f>STDEV(J11:K11)</f>
        <v>112.24565809822263</v>
      </c>
      <c r="I33" s="48" t="s">
        <v>14</v>
      </c>
      <c r="J33" s="53" t="s">
        <v>15</v>
      </c>
      <c r="K33" s="39">
        <f>D33/D22</f>
        <v>8.3452946397741437E-2</v>
      </c>
      <c r="L33" s="39">
        <f>E33/E22</f>
        <v>7.0329432997329036E-2</v>
      </c>
      <c r="M33" s="39">
        <f>F33/F22</f>
        <v>0.24082135432838742</v>
      </c>
      <c r="N33" s="39">
        <f>G33/G22</f>
        <v>8.1240339483733645E-2</v>
      </c>
    </row>
    <row r="34" spans="1:14" x14ac:dyDescent="0.2">
      <c r="B34" s="48" t="s">
        <v>16</v>
      </c>
      <c r="C34" s="54" t="s">
        <v>17</v>
      </c>
      <c r="D34" s="2">
        <f>STDEV(D12:E12)</f>
        <v>3971.9435044691627</v>
      </c>
      <c r="E34" s="2">
        <f>STDEV(F12:G12)</f>
        <v>1251.9930384693109</v>
      </c>
      <c r="F34" s="2">
        <f>STDEV(H12:I12)</f>
        <v>293.56679432725713</v>
      </c>
      <c r="G34" s="2">
        <f>STDEV(J12:K12)</f>
        <v>310.84269639045232</v>
      </c>
      <c r="I34" s="48" t="s">
        <v>16</v>
      </c>
      <c r="J34" s="54" t="s">
        <v>17</v>
      </c>
      <c r="K34" s="39">
        <f>D34/D23</f>
        <v>0.27881239588781603</v>
      </c>
      <c r="L34" s="39">
        <f>E34/E23</f>
        <v>0.18982034956460186</v>
      </c>
      <c r="M34" s="39">
        <f>F34/F23</f>
        <v>0.11252818282660178</v>
      </c>
      <c r="N34" s="39">
        <f>G34/G23</f>
        <v>3.2819220291051915E-2</v>
      </c>
    </row>
    <row r="35" spans="1:14" x14ac:dyDescent="0.2">
      <c r="B35" s="48" t="s">
        <v>18</v>
      </c>
      <c r="C35" s="55" t="s">
        <v>19</v>
      </c>
      <c r="D35" s="2">
        <f>STDEV(D13:E13)</f>
        <v>60.439747768060286</v>
      </c>
      <c r="E35" s="2">
        <f>STDEV(F13:G13)</f>
        <v>77.70824147350892</v>
      </c>
      <c r="F35" s="2">
        <f>STDEV(H13:I13)</f>
        <v>25.90275045766802</v>
      </c>
      <c r="G35" s="2">
        <f>STDEV(J13:K13)</f>
        <v>43.171225778340393</v>
      </c>
      <c r="I35" s="48" t="s">
        <v>18</v>
      </c>
      <c r="J35" s="55" t="s">
        <v>19</v>
      </c>
      <c r="K35" s="39">
        <f>D35/D24</f>
        <v>0.19680285161638597</v>
      </c>
      <c r="L35" s="39">
        <f>E35/E24</f>
        <v>0.27489170410579866</v>
      </c>
      <c r="M35" s="39">
        <f>F35/F24</f>
        <v>8.1118786810736171E-2</v>
      </c>
      <c r="N35" s="39">
        <f>G35/G24</f>
        <v>0.29097126127274214</v>
      </c>
    </row>
    <row r="36" spans="1:14" x14ac:dyDescent="0.2">
      <c r="B36" s="48" t="s">
        <v>20</v>
      </c>
      <c r="C36" s="56" t="s">
        <v>21</v>
      </c>
      <c r="D36" s="2">
        <f>STDEV(D14:E14)</f>
        <v>967.07489617412421</v>
      </c>
      <c r="E36" s="2">
        <f>STDEV(F14:G14)</f>
        <v>518.06404809934406</v>
      </c>
      <c r="F36" s="2">
        <f>STDEV(H14:I14)</f>
        <v>77.708661494937161</v>
      </c>
      <c r="G36" s="2">
        <f>STDEV(J14:K14)</f>
        <v>431.72070488101218</v>
      </c>
      <c r="I36" s="48" t="s">
        <v>20</v>
      </c>
      <c r="J36" s="56" t="s">
        <v>21</v>
      </c>
      <c r="K36" s="39">
        <f>D36/D25</f>
        <v>7.9783937259794602E-2</v>
      </c>
      <c r="L36" s="39">
        <f>E36/E25</f>
        <v>9.5201888909602517E-2</v>
      </c>
      <c r="M36" s="39">
        <f>F36/F25</f>
        <v>4.1553691532673721E-2</v>
      </c>
      <c r="N36" s="39">
        <f>G36/G25</f>
        <v>7.3253152701181226E-2</v>
      </c>
    </row>
    <row r="37" spans="1:14" x14ac:dyDescent="0.2">
      <c r="K37"/>
    </row>
    <row r="38" spans="1:14" x14ac:dyDescent="0.2">
      <c r="D38" s="1" t="s">
        <v>43</v>
      </c>
      <c r="K38"/>
    </row>
    <row r="39" spans="1:14" x14ac:dyDescent="0.2">
      <c r="D39" s="7" t="s">
        <v>53</v>
      </c>
      <c r="E39" s="7" t="s">
        <v>54</v>
      </c>
      <c r="F39" s="7" t="s">
        <v>55</v>
      </c>
      <c r="G39" s="7" t="s">
        <v>56</v>
      </c>
      <c r="K39"/>
    </row>
    <row r="40" spans="1:14" x14ac:dyDescent="0.2">
      <c r="C40" s="40" t="s">
        <v>13</v>
      </c>
      <c r="D40" s="22">
        <f>(D21*$K21)/(D$21*$K$21)</f>
        <v>1</v>
      </c>
      <c r="E40" s="22">
        <f>(E21*$K21)/(E$21*$K$21)</f>
        <v>1</v>
      </c>
      <c r="F40" s="22">
        <f>(F21*$K21)/(F$21*$K$21)</f>
        <v>1</v>
      </c>
      <c r="G40" s="22">
        <f>(G21*$K21)/(G$21*$K$21)</f>
        <v>1</v>
      </c>
      <c r="K40"/>
    </row>
    <row r="41" spans="1:14" ht="16" thickBot="1" x14ac:dyDescent="0.25">
      <c r="C41" s="41" t="s">
        <v>15</v>
      </c>
      <c r="D41" s="42">
        <f>(D22*$K22)/(D$21*$K$21)</f>
        <v>0.10600410304775638</v>
      </c>
      <c r="E41" s="42">
        <f>(E22*$K22)/(E$21*$K$21)</f>
        <v>0.39907187672184652</v>
      </c>
      <c r="F41" s="42">
        <f>(F22*$K22)/(F$21*$K$21)</f>
        <v>0.78606276923810137</v>
      </c>
      <c r="G41" s="42">
        <f>(G22*$K22)/(G$21*$K$21)</f>
        <v>0.17445622802965902</v>
      </c>
      <c r="K41"/>
    </row>
    <row r="42" spans="1:14" x14ac:dyDescent="0.2">
      <c r="C42" s="43" t="s">
        <v>17</v>
      </c>
      <c r="D42" s="44">
        <f>(D23*$K23)/(D$21*$K$21)</f>
        <v>1.1227571734067618</v>
      </c>
      <c r="E42" s="44">
        <f>(E23*$K23)/(E$21*$K$21)</f>
        <v>1.7866513198017753</v>
      </c>
      <c r="F42" s="44">
        <f>(F23*$K23)/(F$21*$K$21)</f>
        <v>1.9723053649372266</v>
      </c>
      <c r="G42" s="44">
        <f>(G23*$K23)/(G$21*$K$21)</f>
        <v>1.1959170725383643</v>
      </c>
      <c r="K42"/>
    </row>
    <row r="43" spans="1:14" x14ac:dyDescent="0.2">
      <c r="C43" s="45" t="s">
        <v>19</v>
      </c>
      <c r="D43" s="22">
        <f>(D24*$K24)/(D$21*$K$21)</f>
        <v>3.6305913587680433E-3</v>
      </c>
      <c r="E43" s="22">
        <f>(E24*$K24)/(E$21*$K$21)</f>
        <v>1.1486226231356396E-2</v>
      </c>
      <c r="F43" s="22">
        <f>(F24*$K24)/(F$21*$K$21)</f>
        <v>3.6211309061084218E-2</v>
      </c>
      <c r="G43" s="22">
        <f>(G24*$K24)/(G$21*$K$21)</f>
        <v>2.8101156888214701E-3</v>
      </c>
    </row>
    <row r="44" spans="1:14" x14ac:dyDescent="0.2">
      <c r="A44" s="12"/>
      <c r="C44" s="46" t="s">
        <v>21</v>
      </c>
      <c r="D44" s="22">
        <f>(D25*$K25)/(D$21*$K$21)</f>
        <v>0.28658981643730752</v>
      </c>
      <c r="E44" s="22">
        <f>(E25*$K25)/(E$21*$K$21)</f>
        <v>0.44222144916471517</v>
      </c>
      <c r="F44" s="22">
        <f>(F25*$K25)/(F$21*$K$21)</f>
        <v>0.42414036217267126</v>
      </c>
      <c r="G44" s="22">
        <f>(G25*$K25)/(G$21*$K$21)</f>
        <v>0.22324743030104074</v>
      </c>
      <c r="K44"/>
    </row>
    <row r="45" spans="1:14" x14ac:dyDescent="0.2">
      <c r="C45" s="51" t="s">
        <v>64</v>
      </c>
      <c r="D45" s="22">
        <f>(D19*$K19)/(D$21*$K$21)</f>
        <v>0.4989409747245358</v>
      </c>
      <c r="E45" s="22">
        <f>(E19*$K19)/(E$21*$K$21)</f>
        <v>0.32232726347816831</v>
      </c>
      <c r="F45" s="22">
        <f>(F19*$K19)/(F$21*$K$21)</f>
        <v>2.0295640600893772</v>
      </c>
      <c r="G45" s="22">
        <f>(G19*$K19)/(G$21*$K$21)</f>
        <v>0.77091195368838594</v>
      </c>
      <c r="K45"/>
    </row>
    <row r="46" spans="1:14" x14ac:dyDescent="0.2">
      <c r="D46" s="11">
        <f>SUM(D42:D45)</f>
        <v>1.911918555927373</v>
      </c>
      <c r="E46" s="11">
        <f>SUM(E42:E45)</f>
        <v>2.5626862586760151</v>
      </c>
      <c r="F46" s="11">
        <f>SUM(F42:F45)</f>
        <v>4.4622210962603592</v>
      </c>
      <c r="G46" s="11">
        <f>SUM(G42:G45)</f>
        <v>2.1928865722166124</v>
      </c>
      <c r="K46"/>
    </row>
    <row r="47" spans="1:14" x14ac:dyDescent="0.2">
      <c r="K47"/>
    </row>
    <row r="48" spans="1:14" x14ac:dyDescent="0.2">
      <c r="K48"/>
    </row>
    <row r="49" spans="1:11" x14ac:dyDescent="0.2">
      <c r="K49"/>
    </row>
    <row r="50" spans="1:11" x14ac:dyDescent="0.2">
      <c r="K50"/>
    </row>
    <row r="51" spans="1:11" x14ac:dyDescent="0.2">
      <c r="K51"/>
    </row>
    <row r="52" spans="1:11" x14ac:dyDescent="0.2">
      <c r="K52"/>
    </row>
    <row r="53" spans="1:11" x14ac:dyDescent="0.2">
      <c r="K53"/>
    </row>
    <row r="54" spans="1:11" x14ac:dyDescent="0.2">
      <c r="K54"/>
    </row>
    <row r="55" spans="1:11" x14ac:dyDescent="0.2">
      <c r="A55" s="12"/>
      <c r="K55"/>
    </row>
  </sheetData>
  <mergeCells count="21">
    <mergeCell ref="D5:E5"/>
    <mergeCell ref="F5:G5"/>
    <mergeCell ref="H5:I5"/>
    <mergeCell ref="J5:K5"/>
    <mergeCell ref="L16:L17"/>
    <mergeCell ref="P17:R17"/>
    <mergeCell ref="S17:T17"/>
    <mergeCell ref="P18:R18"/>
    <mergeCell ref="S18:T18"/>
    <mergeCell ref="P19:R19"/>
    <mergeCell ref="S19:T19"/>
    <mergeCell ref="P20:R20"/>
    <mergeCell ref="S20:T20"/>
    <mergeCell ref="P27:Q27"/>
    <mergeCell ref="P28:Q28"/>
    <mergeCell ref="P21:R21"/>
    <mergeCell ref="S21:T21"/>
    <mergeCell ref="P24:Q24"/>
    <mergeCell ref="R24:T24"/>
    <mergeCell ref="P25:Q25"/>
    <mergeCell ref="P26:Q26"/>
  </mergeCells>
  <conditionalFormatting sqref="D7:O14">
    <cfRule type="cellIs" dxfId="15" priority="4" operator="lessThanOrEqual">
      <formula>$U$19</formula>
    </cfRule>
  </conditionalFormatting>
  <conditionalFormatting sqref="U20:V20">
    <cfRule type="cellIs" dxfId="14" priority="3" operator="lessThan">
      <formula>4</formula>
    </cfRule>
  </conditionalFormatting>
  <conditionalFormatting sqref="U21:V21">
    <cfRule type="cellIs" dxfId="13" priority="2" operator="lessThan">
      <formula>1</formula>
    </cfRule>
  </conditionalFormatting>
  <conditionalFormatting sqref="V25:V28">
    <cfRule type="cellIs" dxfId="12" priority="1" operator="equal">
      <formula>"fail"</formula>
    </cfRule>
  </conditionalFormatting>
  <pageMargins left="0.7" right="0.7" top="0.75" bottom="0.75" header="0.3" footer="0.3"/>
  <pageSetup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55"/>
  <sheetViews>
    <sheetView topLeftCell="A2" zoomScale="85" zoomScaleNormal="85" workbookViewId="0">
      <selection activeCell="P20" sqref="P20:R21"/>
    </sheetView>
  </sheetViews>
  <sheetFormatPr baseColWidth="10" defaultColWidth="8.83203125" defaultRowHeight="15" x14ac:dyDescent="0.2"/>
  <cols>
    <col min="1" max="1" width="7.33203125" customWidth="1"/>
    <col min="2" max="2" width="8.6640625" bestFit="1" customWidth="1"/>
    <col min="3" max="3" width="12.1640625" bestFit="1" customWidth="1"/>
    <col min="4" max="5" width="9.6640625" bestFit="1" customWidth="1"/>
    <col min="6" max="6" width="11.6640625" bestFit="1" customWidth="1"/>
    <col min="7" max="7" width="11.5" bestFit="1" customWidth="1"/>
    <col min="8" max="9" width="9.6640625" bestFit="1" customWidth="1"/>
    <col min="10" max="10" width="9.5" bestFit="1" customWidth="1"/>
    <col min="11" max="11" width="10" style="12" bestFit="1" customWidth="1"/>
    <col min="12" max="13" width="9.6640625" bestFit="1" customWidth="1"/>
    <col min="14" max="14" width="8.33203125" bestFit="1" customWidth="1"/>
    <col min="15" max="15" width="10.6640625" customWidth="1"/>
    <col min="16" max="16" width="12" bestFit="1" customWidth="1"/>
  </cols>
  <sheetData>
    <row r="1" spans="1:30" x14ac:dyDescent="0.2">
      <c r="D1" s="1"/>
      <c r="F1" s="1"/>
      <c r="G1" s="1"/>
      <c r="H1" s="1"/>
      <c r="I1" s="1"/>
      <c r="K1"/>
      <c r="L1" t="s">
        <v>0</v>
      </c>
      <c r="M1" s="2">
        <f>MAX(M7:M14)</f>
        <v>244.071168</v>
      </c>
    </row>
    <row r="2" spans="1:30" x14ac:dyDescent="0.2">
      <c r="K2"/>
      <c r="L2" t="s">
        <v>1</v>
      </c>
      <c r="M2" s="2">
        <f>AVERAGE(M7:M14)</f>
        <v>163.001771125</v>
      </c>
    </row>
    <row r="3" spans="1:30" x14ac:dyDescent="0.2">
      <c r="B3" s="1" t="s">
        <v>2</v>
      </c>
      <c r="C3" s="1" t="s">
        <v>3</v>
      </c>
      <c r="D3" s="6"/>
      <c r="E3" s="3"/>
      <c r="F3" s="4"/>
      <c r="G3" s="5"/>
      <c r="K3"/>
      <c r="L3" t="s">
        <v>4</v>
      </c>
      <c r="M3" s="2">
        <f>STDEV(M7:M14)</f>
        <v>42.684477219186007</v>
      </c>
    </row>
    <row r="4" spans="1:30" x14ac:dyDescent="0.2">
      <c r="B4" s="59" t="s">
        <v>50</v>
      </c>
      <c r="C4" s="60" t="s">
        <v>48</v>
      </c>
      <c r="D4" s="9" t="s">
        <v>47</v>
      </c>
      <c r="E4" s="9" t="s">
        <v>49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30" x14ac:dyDescent="0.2">
      <c r="D5" s="66" t="s">
        <v>53</v>
      </c>
      <c r="E5" s="66"/>
      <c r="F5" s="66" t="s">
        <v>54</v>
      </c>
      <c r="G5" s="66"/>
      <c r="H5" s="66" t="s">
        <v>55</v>
      </c>
      <c r="I5" s="66"/>
      <c r="J5" s="67" t="s">
        <v>56</v>
      </c>
      <c r="K5" s="67"/>
      <c r="L5" s="61" t="s">
        <v>57</v>
      </c>
      <c r="M5" s="61" t="s">
        <v>5</v>
      </c>
      <c r="N5" s="61" t="s">
        <v>6</v>
      </c>
      <c r="O5" s="61" t="s">
        <v>6</v>
      </c>
      <c r="Q5" t="s">
        <v>45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>
        <v>9</v>
      </c>
      <c r="AB5">
        <v>10</v>
      </c>
      <c r="AC5">
        <v>11</v>
      </c>
      <c r="AD5">
        <v>12</v>
      </c>
    </row>
    <row r="6" spans="1:30" x14ac:dyDescent="0.2">
      <c r="C6" s="8"/>
      <c r="D6" s="9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S6">
        <v>3419.7938220000001</v>
      </c>
      <c r="T6">
        <v>3347.1091900000001</v>
      </c>
      <c r="U6">
        <v>5085.960016</v>
      </c>
      <c r="V6">
        <v>5958.1894819999998</v>
      </c>
      <c r="W6">
        <v>10252.324767</v>
      </c>
      <c r="X6">
        <v>12147.826567</v>
      </c>
      <c r="Y6">
        <v>3598.7100070000001</v>
      </c>
      <c r="Z6">
        <v>2983.6866180000002</v>
      </c>
      <c r="AA6">
        <v>132.25131500000001</v>
      </c>
      <c r="AB6">
        <v>137.84230500000001</v>
      </c>
      <c r="AC6" t="s">
        <v>46</v>
      </c>
      <c r="AD6" t="s">
        <v>46</v>
      </c>
    </row>
    <row r="7" spans="1:30" x14ac:dyDescent="0.2">
      <c r="A7" t="s">
        <v>7</v>
      </c>
      <c r="B7" s="48" t="s">
        <v>7</v>
      </c>
      <c r="C7" s="49" t="s">
        <v>8</v>
      </c>
      <c r="D7" s="10">
        <v>3419.7938220000001</v>
      </c>
      <c r="E7" s="10">
        <v>3347.1091900000001</v>
      </c>
      <c r="F7" s="10">
        <v>5085.960016</v>
      </c>
      <c r="G7" s="10">
        <v>5958.1894819999998</v>
      </c>
      <c r="H7" s="10">
        <v>10252.324767</v>
      </c>
      <c r="I7" s="10">
        <v>12147.826567</v>
      </c>
      <c r="J7" s="10">
        <v>3598.7100070000001</v>
      </c>
      <c r="K7" s="10">
        <v>2983.6866180000002</v>
      </c>
      <c r="L7" s="10">
        <v>132.25131500000001</v>
      </c>
      <c r="M7" s="10">
        <v>137.84230500000001</v>
      </c>
      <c r="N7" s="10">
        <v>0</v>
      </c>
      <c r="O7" s="10">
        <v>0</v>
      </c>
      <c r="S7">
        <v>859.08202000000006</v>
      </c>
      <c r="T7">
        <v>551.57624199999998</v>
      </c>
      <c r="U7">
        <v>3475.7051040000001</v>
      </c>
      <c r="V7">
        <v>3749.6707240000001</v>
      </c>
      <c r="W7">
        <v>3330.3358189999999</v>
      </c>
      <c r="X7">
        <v>3844.720151</v>
      </c>
      <c r="Y7">
        <v>573.94027500000004</v>
      </c>
      <c r="Z7">
        <v>1160.997468</v>
      </c>
      <c r="AA7">
        <v>188.16122999999999</v>
      </c>
      <c r="AB7">
        <v>210.52520200000001</v>
      </c>
      <c r="AC7" t="s">
        <v>46</v>
      </c>
      <c r="AD7" t="s">
        <v>46</v>
      </c>
    </row>
    <row r="8" spans="1:30" x14ac:dyDescent="0.2">
      <c r="A8" t="s">
        <v>9</v>
      </c>
      <c r="B8" s="48" t="s">
        <v>9</v>
      </c>
      <c r="C8" s="50" t="s">
        <v>44</v>
      </c>
      <c r="D8" s="10">
        <v>859.08202000000006</v>
      </c>
      <c r="E8" s="10">
        <v>551.57624199999998</v>
      </c>
      <c r="F8" s="10">
        <v>3475.7051040000001</v>
      </c>
      <c r="G8" s="10">
        <v>3749.6707240000001</v>
      </c>
      <c r="H8" s="10">
        <v>3330.3358189999999</v>
      </c>
      <c r="I8" s="10">
        <v>3844.720151</v>
      </c>
      <c r="J8" s="10">
        <v>573.94027500000004</v>
      </c>
      <c r="K8" s="10">
        <v>1160.997468</v>
      </c>
      <c r="L8" s="10">
        <v>188.16122999999999</v>
      </c>
      <c r="M8" s="10">
        <v>210.52520200000001</v>
      </c>
      <c r="N8" s="10">
        <v>0</v>
      </c>
      <c r="O8" s="10">
        <v>0</v>
      </c>
      <c r="S8">
        <v>4593.9356349999998</v>
      </c>
      <c r="T8">
        <v>5164.2367880000002</v>
      </c>
      <c r="U8">
        <v>6030.8755259999998</v>
      </c>
      <c r="V8">
        <v>7020.5278870000002</v>
      </c>
      <c r="W8">
        <v>18438.400207999999</v>
      </c>
      <c r="X8">
        <v>18147.629424999999</v>
      </c>
      <c r="Y8">
        <v>7786.5349999999999</v>
      </c>
      <c r="Z8">
        <v>9547.8087890000006</v>
      </c>
      <c r="AA8">
        <v>193.75222199999999</v>
      </c>
      <c r="AB8">
        <v>244.071168</v>
      </c>
      <c r="AC8" t="s">
        <v>46</v>
      </c>
      <c r="AD8" t="s">
        <v>46</v>
      </c>
    </row>
    <row r="9" spans="1:30" x14ac:dyDescent="0.2">
      <c r="A9" t="s">
        <v>11</v>
      </c>
      <c r="B9" s="48" t="s">
        <v>11</v>
      </c>
      <c r="C9" s="51" t="s">
        <v>10</v>
      </c>
      <c r="D9" s="10">
        <v>4593.9356349999998</v>
      </c>
      <c r="E9" s="10">
        <v>5164.2367880000002</v>
      </c>
      <c r="F9" s="10">
        <v>6030.8755259999998</v>
      </c>
      <c r="G9" s="10">
        <v>7020.5278870000002</v>
      </c>
      <c r="H9" s="10">
        <v>18438.400207999999</v>
      </c>
      <c r="I9" s="10">
        <v>18147.629424999999</v>
      </c>
      <c r="J9" s="10">
        <v>7786.5349999999999</v>
      </c>
      <c r="K9" s="10">
        <v>9547.8087890000006</v>
      </c>
      <c r="L9" s="10">
        <v>193.75222199999999</v>
      </c>
      <c r="M9" s="10">
        <v>244.071168</v>
      </c>
      <c r="N9" s="10">
        <v>0</v>
      </c>
      <c r="O9" s="10">
        <v>0</v>
      </c>
      <c r="S9">
        <v>4006.8634459999998</v>
      </c>
      <c r="T9">
        <v>3335.9269420000001</v>
      </c>
      <c r="U9">
        <v>5058.0040369999997</v>
      </c>
      <c r="V9">
        <v>6025.2842899999996</v>
      </c>
      <c r="W9">
        <v>2637.0383120000001</v>
      </c>
      <c r="X9">
        <v>2603.4917489999998</v>
      </c>
      <c r="Y9">
        <v>1233.680918</v>
      </c>
      <c r="Z9">
        <v>1434.9583689999999</v>
      </c>
      <c r="AA9">
        <v>154.61527799999999</v>
      </c>
      <c r="AB9">
        <v>154.61527799999999</v>
      </c>
      <c r="AC9" t="s">
        <v>46</v>
      </c>
      <c r="AD9" t="s">
        <v>46</v>
      </c>
    </row>
    <row r="10" spans="1:30" x14ac:dyDescent="0.2">
      <c r="A10" t="s">
        <v>12</v>
      </c>
      <c r="B10" s="48" t="s">
        <v>12</v>
      </c>
      <c r="C10" s="52" t="s">
        <v>13</v>
      </c>
      <c r="D10" s="10">
        <v>4006.8634459999998</v>
      </c>
      <c r="E10" s="10">
        <v>3335.9269420000001</v>
      </c>
      <c r="F10" s="10">
        <v>5058.0040369999997</v>
      </c>
      <c r="G10" s="10">
        <v>6025.2842899999996</v>
      </c>
      <c r="H10" s="10">
        <v>2637.0383120000001</v>
      </c>
      <c r="I10" s="10">
        <v>2603.4917489999998</v>
      </c>
      <c r="J10" s="10">
        <v>1233.680918</v>
      </c>
      <c r="K10" s="10">
        <v>1434.9583689999999</v>
      </c>
      <c r="L10" s="10">
        <v>154.61527799999999</v>
      </c>
      <c r="M10" s="10">
        <v>154.61527799999999</v>
      </c>
      <c r="N10" s="10">
        <v>0</v>
      </c>
      <c r="O10" s="10">
        <v>0</v>
      </c>
      <c r="S10">
        <v>2827.1356599999999</v>
      </c>
      <c r="T10">
        <v>2391.0303789999998</v>
      </c>
      <c r="U10">
        <v>5919.0508589999999</v>
      </c>
      <c r="V10">
        <v>6097.9703710000003</v>
      </c>
      <c r="W10">
        <v>2368.6660440000001</v>
      </c>
      <c r="X10">
        <v>2519.6253790000001</v>
      </c>
      <c r="Y10">
        <v>1395.821064</v>
      </c>
      <c r="Z10">
        <v>1144.2243699999999</v>
      </c>
      <c r="AA10">
        <v>149.02428699999999</v>
      </c>
      <c r="AB10">
        <v>165.79726099999999</v>
      </c>
      <c r="AC10" t="s">
        <v>46</v>
      </c>
      <c r="AD10" t="s">
        <v>46</v>
      </c>
    </row>
    <row r="11" spans="1:30" x14ac:dyDescent="0.2">
      <c r="A11" t="s">
        <v>14</v>
      </c>
      <c r="B11" s="48" t="s">
        <v>14</v>
      </c>
      <c r="C11" s="53" t="s">
        <v>15</v>
      </c>
      <c r="D11" s="10">
        <v>2827.1356599999999</v>
      </c>
      <c r="E11" s="10">
        <v>2391.0303789999998</v>
      </c>
      <c r="F11" s="10">
        <v>5919.0508589999999</v>
      </c>
      <c r="G11" s="10">
        <v>6097.9703710000003</v>
      </c>
      <c r="H11" s="10">
        <v>2368.6660440000001</v>
      </c>
      <c r="I11" s="10">
        <v>2519.6253790000001</v>
      </c>
      <c r="J11" s="10">
        <v>1395.821064</v>
      </c>
      <c r="K11" s="10">
        <v>1144.2243699999999</v>
      </c>
      <c r="L11" s="10">
        <v>149.02428699999999</v>
      </c>
      <c r="M11" s="10">
        <v>165.79726099999999</v>
      </c>
      <c r="N11" s="10">
        <v>0</v>
      </c>
      <c r="O11" s="10">
        <v>0</v>
      </c>
      <c r="S11">
        <v>316.754122</v>
      </c>
      <c r="T11">
        <v>355.89111300000002</v>
      </c>
      <c r="U11">
        <v>1267.2271390000001</v>
      </c>
      <c r="V11">
        <v>1345.5016869999999</v>
      </c>
      <c r="W11">
        <v>685.76049499999999</v>
      </c>
      <c r="X11">
        <v>624.25936200000001</v>
      </c>
      <c r="Y11">
        <v>255.25315800000001</v>
      </c>
      <c r="Z11">
        <v>299.98112900000001</v>
      </c>
      <c r="AA11">
        <v>210.52520200000001</v>
      </c>
      <c r="AB11">
        <v>126.660325</v>
      </c>
      <c r="AC11" t="s">
        <v>46</v>
      </c>
      <c r="AD11" t="s">
        <v>46</v>
      </c>
    </row>
    <row r="12" spans="1:30" x14ac:dyDescent="0.2">
      <c r="A12" t="s">
        <v>16</v>
      </c>
      <c r="B12" s="48" t="s">
        <v>16</v>
      </c>
      <c r="C12" s="54" t="s">
        <v>17</v>
      </c>
      <c r="D12" s="10">
        <v>316.754122</v>
      </c>
      <c r="E12" s="10">
        <v>355.89111300000002</v>
      </c>
      <c r="F12" s="10">
        <v>1267.2271390000001</v>
      </c>
      <c r="G12" s="10">
        <v>1345.5016869999999</v>
      </c>
      <c r="H12" s="10">
        <v>685.76049499999999</v>
      </c>
      <c r="I12" s="10">
        <v>624.25936200000001</v>
      </c>
      <c r="J12" s="10">
        <v>255.25315800000001</v>
      </c>
      <c r="K12" s="10">
        <v>299.98112900000001</v>
      </c>
      <c r="L12" s="10">
        <v>210.52520200000001</v>
      </c>
      <c r="M12" s="10">
        <v>126.660325</v>
      </c>
      <c r="N12" s="10">
        <v>0</v>
      </c>
      <c r="O12" s="10">
        <v>0</v>
      </c>
      <c r="S12">
        <v>506.848187</v>
      </c>
      <c r="T12">
        <v>439.75613299999998</v>
      </c>
      <c r="U12">
        <v>3207.3311610000001</v>
      </c>
      <c r="V12">
        <v>2922.1844339999998</v>
      </c>
      <c r="W12">
        <v>1524.415111</v>
      </c>
      <c r="X12">
        <v>1490.8688259999999</v>
      </c>
      <c r="Y12">
        <v>523.62120600000003</v>
      </c>
      <c r="Z12">
        <v>903.81019200000003</v>
      </c>
      <c r="AA12">
        <v>126.660325</v>
      </c>
      <c r="AB12">
        <v>132.25131500000001</v>
      </c>
      <c r="AC12" t="s">
        <v>46</v>
      </c>
      <c r="AD12" t="s">
        <v>46</v>
      </c>
    </row>
    <row r="13" spans="1:30" x14ac:dyDescent="0.2">
      <c r="A13" t="s">
        <v>18</v>
      </c>
      <c r="B13" s="48" t="s">
        <v>18</v>
      </c>
      <c r="C13" s="55" t="s">
        <v>19</v>
      </c>
      <c r="D13" s="10">
        <v>506.848187</v>
      </c>
      <c r="E13" s="10">
        <v>439.75613299999998</v>
      </c>
      <c r="F13" s="10">
        <v>3207.3311610000001</v>
      </c>
      <c r="G13" s="10">
        <v>2922.1844339999998</v>
      </c>
      <c r="H13" s="10">
        <v>1524.415111</v>
      </c>
      <c r="I13" s="10">
        <v>1490.8688259999999</v>
      </c>
      <c r="J13" s="10">
        <v>523.62120600000003</v>
      </c>
      <c r="K13" s="10">
        <v>903.81019200000003</v>
      </c>
      <c r="L13" s="10">
        <v>126.660325</v>
      </c>
      <c r="M13" s="10">
        <v>132.25131500000001</v>
      </c>
      <c r="N13" s="10">
        <v>0</v>
      </c>
      <c r="O13" s="10">
        <v>0</v>
      </c>
      <c r="S13">
        <v>775.21673799999996</v>
      </c>
      <c r="T13">
        <v>713.71556399999997</v>
      </c>
      <c r="U13">
        <v>3095.5088430000001</v>
      </c>
      <c r="V13">
        <v>3827.9467180000001</v>
      </c>
      <c r="W13">
        <v>1188.9526370000001</v>
      </c>
      <c r="X13">
        <v>1183.3616019999999</v>
      </c>
      <c r="Y13">
        <v>596.30431099999998</v>
      </c>
      <c r="Z13">
        <v>652.21441900000002</v>
      </c>
      <c r="AA13">
        <v>160.20626899999999</v>
      </c>
      <c r="AB13">
        <v>132.25131500000001</v>
      </c>
      <c r="AC13" t="s">
        <v>46</v>
      </c>
      <c r="AD13" t="s">
        <v>46</v>
      </c>
    </row>
    <row r="14" spans="1:30" x14ac:dyDescent="0.2">
      <c r="A14" t="s">
        <v>20</v>
      </c>
      <c r="B14" s="48" t="s">
        <v>20</v>
      </c>
      <c r="C14" s="56" t="s">
        <v>21</v>
      </c>
      <c r="D14" s="10">
        <v>775.21673799999996</v>
      </c>
      <c r="E14" s="10">
        <v>713.71556399999997</v>
      </c>
      <c r="F14" s="10">
        <v>3095.5088430000001</v>
      </c>
      <c r="G14" s="10">
        <v>3827.9467180000001</v>
      </c>
      <c r="H14" s="10">
        <v>1188.9526370000001</v>
      </c>
      <c r="I14" s="10">
        <v>1183.3616019999999</v>
      </c>
      <c r="J14" s="10">
        <v>596.30431099999998</v>
      </c>
      <c r="K14" s="10">
        <v>652.21441900000002</v>
      </c>
      <c r="L14" s="10">
        <v>160.20626899999999</v>
      </c>
      <c r="M14" s="10">
        <v>132.25131500000001</v>
      </c>
      <c r="N14" s="10">
        <v>0</v>
      </c>
      <c r="O14" s="10">
        <v>0</v>
      </c>
    </row>
    <row r="16" spans="1:30" ht="16" x14ac:dyDescent="0.2">
      <c r="C16" s="1"/>
      <c r="J16" s="12"/>
      <c r="K16"/>
      <c r="L16" s="68" t="s">
        <v>22</v>
      </c>
      <c r="P16" s="13" t="s">
        <v>23</v>
      </c>
      <c r="S16" s="14"/>
      <c r="U16" s="15"/>
    </row>
    <row r="17" spans="2:22" ht="16" x14ac:dyDescent="0.2">
      <c r="D17" s="6" t="s">
        <v>58</v>
      </c>
      <c r="E17" s="61" t="s">
        <v>59</v>
      </c>
      <c r="F17" s="61" t="s">
        <v>60</v>
      </c>
      <c r="G17" s="61" t="s">
        <v>61</v>
      </c>
      <c r="H17" s="61" t="s">
        <v>57</v>
      </c>
      <c r="I17" s="61" t="s">
        <v>5</v>
      </c>
      <c r="J17" s="16" t="s">
        <v>24</v>
      </c>
      <c r="K17" s="1" t="s">
        <v>25</v>
      </c>
      <c r="L17" s="68"/>
      <c r="M17" s="1" t="s">
        <v>26</v>
      </c>
      <c r="P17" s="65" t="s">
        <v>27</v>
      </c>
      <c r="Q17" s="65"/>
      <c r="R17" s="65"/>
      <c r="S17" s="65" t="s">
        <v>28</v>
      </c>
      <c r="T17" s="65"/>
      <c r="U17" s="17" t="s">
        <v>29</v>
      </c>
      <c r="V17" s="17" t="s">
        <v>8</v>
      </c>
    </row>
    <row r="18" spans="2:22" x14ac:dyDescent="0.2">
      <c r="B18" s="48" t="s">
        <v>7</v>
      </c>
      <c r="C18" s="49" t="s">
        <v>8</v>
      </c>
      <c r="D18" s="18">
        <f>AVERAGE(D7:E7)</f>
        <v>3383.4515060000003</v>
      </c>
      <c r="E18" s="18">
        <f>AVERAGE(F7:G7)</f>
        <v>5522.0747489999994</v>
      </c>
      <c r="F18" s="18">
        <f>AVERAGE(H7:I7)</f>
        <v>11200.075667000001</v>
      </c>
      <c r="G18" s="18">
        <f>AVERAGE(J7:K7)</f>
        <v>3291.1983125000002</v>
      </c>
      <c r="H18" s="18">
        <f>AVERAGE(L7)</f>
        <v>132.25131500000001</v>
      </c>
      <c r="I18" s="18">
        <f>AVERAGE(M7)</f>
        <v>137.84230500000001</v>
      </c>
      <c r="J18" s="18">
        <f>AVERAGE((IF(D18&gt;$U$19,D18,"")),(IF(E18&gt;$U$19,E18,"")),(IF(F18&gt;$U$19,F18,"")),(IF(G18&gt;$U$19,G18,"")))</f>
        <v>5849.2000586250006</v>
      </c>
      <c r="K18" s="19"/>
      <c r="L18" s="19"/>
      <c r="M18" s="19"/>
      <c r="P18" s="64" t="s">
        <v>30</v>
      </c>
      <c r="Q18" s="64"/>
      <c r="R18" s="64"/>
      <c r="S18" s="69" t="s">
        <v>31</v>
      </c>
      <c r="T18" s="69"/>
      <c r="U18" s="20">
        <f>AVERAGE(M8:M14)</f>
        <v>166.59598057142856</v>
      </c>
      <c r="V18" s="20">
        <f>M7</f>
        <v>137.84230500000001</v>
      </c>
    </row>
    <row r="19" spans="2:22" x14ac:dyDescent="0.2">
      <c r="B19" s="48" t="s">
        <v>9</v>
      </c>
      <c r="C19" s="50" t="s">
        <v>44</v>
      </c>
      <c r="D19" s="18">
        <f t="shared" ref="D19:D20" si="0">AVERAGE(D8:E8)</f>
        <v>705.32913099999996</v>
      </c>
      <c r="E19" s="18">
        <f t="shared" ref="E19:E20" si="1">AVERAGE(F8:G8)</f>
        <v>3612.6879140000001</v>
      </c>
      <c r="F19" s="18">
        <f t="shared" ref="F19:F20" si="2">AVERAGE(H8:I8)</f>
        <v>3587.5279849999997</v>
      </c>
      <c r="G19" s="18">
        <f t="shared" ref="G19:G20" si="3">AVERAGE(J8:K8)</f>
        <v>867.46887149999998</v>
      </c>
      <c r="H19" s="18">
        <f t="shared" ref="H19:I25" si="4">AVERAGE(L8)</f>
        <v>188.16122999999999</v>
      </c>
      <c r="I19" s="18">
        <f t="shared" si="4"/>
        <v>210.52520200000001</v>
      </c>
      <c r="J19" s="18">
        <f t="shared" ref="J19:J25" si="5">AVERAGE((IF(D19&gt;$U$19,D19-$U$19,0)),(IF(E19&gt;$U$19,E19-$U$19,0)),(IF(F19&gt;$U$19,F19-$U$19,0)),(IF(G19&gt;$U$19,G19-$U$19,0)))</f>
        <v>1859.513795373256</v>
      </c>
      <c r="K19" s="30">
        <v>4.4999999999999998E-2</v>
      </c>
      <c r="L19" s="18">
        <f t="shared" ref="L19:L20" si="6">K19*J19</f>
        <v>83.678120791796516</v>
      </c>
      <c r="M19" s="22">
        <f>L19/$L$21</f>
        <v>0.28287158840035903</v>
      </c>
      <c r="O19">
        <f>45/1000</f>
        <v>4.4999999999999998E-2</v>
      </c>
      <c r="P19" s="64" t="s">
        <v>32</v>
      </c>
      <c r="Q19" s="64"/>
      <c r="R19" s="64"/>
      <c r="S19" s="64" t="s">
        <v>33</v>
      </c>
      <c r="T19" s="64"/>
      <c r="U19" s="20">
        <f>AVERAGE(M7:M14)+(4*M3)</f>
        <v>333.73968000174403</v>
      </c>
      <c r="V19" s="20">
        <f>U19</f>
        <v>333.73968000174403</v>
      </c>
    </row>
    <row r="20" spans="2:22" x14ac:dyDescent="0.2">
      <c r="B20" s="48" t="s">
        <v>11</v>
      </c>
      <c r="C20" s="51" t="s">
        <v>10</v>
      </c>
      <c r="D20" s="18">
        <f t="shared" si="0"/>
        <v>4879.0862115</v>
      </c>
      <c r="E20" s="18">
        <f t="shared" si="1"/>
        <v>6525.7017065</v>
      </c>
      <c r="F20" s="18">
        <f t="shared" si="2"/>
        <v>18293.014816499999</v>
      </c>
      <c r="G20" s="18">
        <f t="shared" si="3"/>
        <v>8667.1718944999993</v>
      </c>
      <c r="H20" s="18">
        <f t="shared" si="4"/>
        <v>193.75222199999999</v>
      </c>
      <c r="I20" s="18">
        <f t="shared" si="4"/>
        <v>244.071168</v>
      </c>
      <c r="J20" s="18">
        <f t="shared" si="5"/>
        <v>9257.503977248256</v>
      </c>
      <c r="K20" s="30">
        <v>4.4999999999999998E-2</v>
      </c>
      <c r="L20" s="18">
        <f t="shared" si="6"/>
        <v>416.5876789761715</v>
      </c>
      <c r="M20" s="22">
        <f t="shared" ref="M20" si="7">L20/$L$21</f>
        <v>1.4082632036301794</v>
      </c>
      <c r="P20" s="64" t="s">
        <v>62</v>
      </c>
      <c r="Q20" s="64"/>
      <c r="R20" s="64"/>
      <c r="S20" s="64" t="s">
        <v>34</v>
      </c>
      <c r="T20" s="64"/>
      <c r="U20" s="23">
        <f>ROUNDUP((COUNTIF(D8:K9,"&gt;"&amp;U19)/4),0)</f>
        <v>4</v>
      </c>
      <c r="V20" s="23">
        <f>ROUNDUP((COUNTIF(D7:K7,"&gt;"&amp;V19)/2),0)</f>
        <v>4</v>
      </c>
    </row>
    <row r="21" spans="2:22" x14ac:dyDescent="0.2">
      <c r="B21" s="48" t="s">
        <v>12</v>
      </c>
      <c r="C21" s="52" t="s">
        <v>13</v>
      </c>
      <c r="D21" s="18">
        <f>AVERAGE(D10:E10)</f>
        <v>3671.3951939999997</v>
      </c>
      <c r="E21" s="18">
        <f>AVERAGE(F10:G10)</f>
        <v>5541.6441634999992</v>
      </c>
      <c r="F21" s="18">
        <f>AVERAGE(H10:I10)</f>
        <v>2620.2650304999997</v>
      </c>
      <c r="G21" s="18">
        <f>AVERAGE(J10:K10)</f>
        <v>1334.3196435</v>
      </c>
      <c r="H21" s="18">
        <f t="shared" si="4"/>
        <v>154.61527799999999</v>
      </c>
      <c r="I21" s="18">
        <f t="shared" si="4"/>
        <v>154.61527799999999</v>
      </c>
      <c r="J21" s="18">
        <f t="shared" si="5"/>
        <v>2958.1663278732558</v>
      </c>
      <c r="K21" s="21">
        <v>0.1</v>
      </c>
      <c r="L21" s="18">
        <f>K21*J21</f>
        <v>295.8166327873256</v>
      </c>
      <c r="M21" s="22">
        <f>L21/$L$21</f>
        <v>1</v>
      </c>
      <c r="P21" s="64" t="s">
        <v>63</v>
      </c>
      <c r="Q21" s="64"/>
      <c r="R21" s="64"/>
      <c r="S21" s="64" t="s">
        <v>35</v>
      </c>
      <c r="T21" s="64"/>
      <c r="U21" s="24">
        <f>(COUNTIF(L9,"&lt;"&amp;U19)+COUNTIF(L8,"&lt;"&amp;U19))/2</f>
        <v>1</v>
      </c>
      <c r="V21" s="24">
        <f>(COUNTIF(L7,"&lt;"&amp;V19))</f>
        <v>1</v>
      </c>
    </row>
    <row r="22" spans="2:22" x14ac:dyDescent="0.2">
      <c r="B22" s="48" t="s">
        <v>14</v>
      </c>
      <c r="C22" s="53" t="s">
        <v>15</v>
      </c>
      <c r="D22" s="18">
        <f>AVERAGE(D11:E11)</f>
        <v>2609.0830194999999</v>
      </c>
      <c r="E22" s="18">
        <f>AVERAGE(F11:G11)</f>
        <v>6008.5106150000001</v>
      </c>
      <c r="F22" s="18">
        <f>AVERAGE(H11:I11)</f>
        <v>2444.1457115000003</v>
      </c>
      <c r="G22" s="18">
        <f>AVERAGE(J11:K11)</f>
        <v>1270.0227169999998</v>
      </c>
      <c r="H22" s="18">
        <f t="shared" si="4"/>
        <v>149.02428699999999</v>
      </c>
      <c r="I22" s="18">
        <f t="shared" si="4"/>
        <v>165.79726099999999</v>
      </c>
      <c r="J22" s="18">
        <f t="shared" si="5"/>
        <v>2749.2008357482555</v>
      </c>
      <c r="K22" s="25">
        <f>K21*2</f>
        <v>0.2</v>
      </c>
      <c r="L22" s="18">
        <f>K22*J22</f>
        <v>549.84016714965117</v>
      </c>
      <c r="M22" s="22">
        <f>L22/$L$21</f>
        <v>1.8587195789797026</v>
      </c>
      <c r="P22" s="26"/>
      <c r="S22" s="26"/>
      <c r="U22" s="27"/>
    </row>
    <row r="23" spans="2:22" ht="16" x14ac:dyDescent="0.2">
      <c r="B23" s="48" t="s">
        <v>16</v>
      </c>
      <c r="C23" s="54" t="s">
        <v>17</v>
      </c>
      <c r="D23" s="18">
        <f>AVERAGE(D12:E12)</f>
        <v>336.32261749999998</v>
      </c>
      <c r="E23" s="18">
        <f>AVERAGE(F12:G12)</f>
        <v>1306.364413</v>
      </c>
      <c r="F23" s="18">
        <f>AVERAGE(H12:I12)</f>
        <v>655.0099285</v>
      </c>
      <c r="G23" s="18">
        <f>AVERAGE(J12:K12)</f>
        <v>277.6171435</v>
      </c>
      <c r="H23" s="18">
        <f t="shared" si="4"/>
        <v>210.52520200000001</v>
      </c>
      <c r="I23" s="18">
        <f t="shared" si="4"/>
        <v>126.660325</v>
      </c>
      <c r="J23" s="18">
        <f t="shared" si="5"/>
        <v>324.11947974869196</v>
      </c>
      <c r="K23" s="25">
        <f>K22</f>
        <v>0.2</v>
      </c>
      <c r="L23" s="18">
        <f>K23*J23</f>
        <v>64.8238959497384</v>
      </c>
      <c r="M23" s="22">
        <f>L23/$L$21</f>
        <v>0.21913539931455744</v>
      </c>
      <c r="P23" s="28" t="s">
        <v>36</v>
      </c>
      <c r="S23" s="26"/>
      <c r="U23" s="29"/>
    </row>
    <row r="24" spans="2:22" ht="16" x14ac:dyDescent="0.2">
      <c r="B24" s="48" t="s">
        <v>18</v>
      </c>
      <c r="C24" s="55" t="s">
        <v>19</v>
      </c>
      <c r="D24" s="18">
        <f>AVERAGE(D13:E13)</f>
        <v>473.30215999999996</v>
      </c>
      <c r="E24" s="18">
        <f>AVERAGE(F13:G13)</f>
        <v>3064.7577974999999</v>
      </c>
      <c r="F24" s="18">
        <f>AVERAGE(H13:I13)</f>
        <v>1507.6419685000001</v>
      </c>
      <c r="G24" s="18">
        <f>AVERAGE(J13:K13)</f>
        <v>713.71569900000009</v>
      </c>
      <c r="H24" s="18">
        <f t="shared" si="4"/>
        <v>126.660325</v>
      </c>
      <c r="I24" s="18">
        <f t="shared" si="4"/>
        <v>132.25131500000001</v>
      </c>
      <c r="J24" s="18">
        <f t="shared" si="5"/>
        <v>1106.1147262482559</v>
      </c>
      <c r="K24" s="30">
        <f>K19</f>
        <v>4.4999999999999998E-2</v>
      </c>
      <c r="L24" s="18">
        <f>K24*J24</f>
        <v>49.775162681171516</v>
      </c>
      <c r="M24" s="22">
        <f>L24/$L$21</f>
        <v>0.16826356994252203</v>
      </c>
      <c r="P24" s="65" t="s">
        <v>37</v>
      </c>
      <c r="Q24" s="65"/>
      <c r="R24" s="65" t="s">
        <v>28</v>
      </c>
      <c r="S24" s="65"/>
      <c r="T24" s="65"/>
      <c r="U24" s="31" t="s">
        <v>29</v>
      </c>
      <c r="V24" s="31" t="s">
        <v>38</v>
      </c>
    </row>
    <row r="25" spans="2:22" x14ac:dyDescent="0.2">
      <c r="B25" s="48" t="s">
        <v>20</v>
      </c>
      <c r="C25" s="56" t="s">
        <v>21</v>
      </c>
      <c r="D25" s="18">
        <f>AVERAGE(D14:E14)</f>
        <v>744.46615099999997</v>
      </c>
      <c r="E25" s="18">
        <f>AVERAGE(F14:G14)</f>
        <v>3461.7277805000003</v>
      </c>
      <c r="F25" s="18">
        <f>AVERAGE(H14:I14)</f>
        <v>1186.1571195000001</v>
      </c>
      <c r="G25" s="18">
        <f>AVERAGE(J14:K14)</f>
        <v>624.259365</v>
      </c>
      <c r="H25" s="18">
        <f t="shared" si="4"/>
        <v>160.20626899999999</v>
      </c>
      <c r="I25" s="18">
        <f t="shared" si="4"/>
        <v>132.25131500000001</v>
      </c>
      <c r="J25" s="18">
        <f t="shared" si="5"/>
        <v>1170.412923998256</v>
      </c>
      <c r="K25" s="21">
        <f>K19*2</f>
        <v>0.09</v>
      </c>
      <c r="L25" s="18">
        <f>K25*J25</f>
        <v>105.33716315984304</v>
      </c>
      <c r="M25" s="22">
        <f>L25/$L$21</f>
        <v>0.35608938607442719</v>
      </c>
      <c r="P25" s="63" t="s">
        <v>53</v>
      </c>
      <c r="Q25" s="63"/>
      <c r="R25" s="32">
        <v>0.9</v>
      </c>
      <c r="S25" s="33" t="s">
        <v>39</v>
      </c>
      <c r="T25" s="34">
        <v>1.25</v>
      </c>
      <c r="U25" s="35">
        <f>D26</f>
        <v>0.79902573592110526</v>
      </c>
      <c r="V25" s="36" t="str">
        <f>IF(U25&gt;R25,"pass","fail")</f>
        <v>fail</v>
      </c>
    </row>
    <row r="26" spans="2:22" x14ac:dyDescent="0.2">
      <c r="B26" s="11"/>
      <c r="C26" s="37" t="s">
        <v>40</v>
      </c>
      <c r="D26" s="38">
        <f>LOG(D19)/LOG(D21)</f>
        <v>0.79902573592110526</v>
      </c>
      <c r="E26" s="38">
        <f>LOG(E19)/LOG(E21)</f>
        <v>0.95036695375814484</v>
      </c>
      <c r="F26" s="38">
        <f>LOG(F19)/LOG(F22)</f>
        <v>1.0491918394604014</v>
      </c>
      <c r="G26" s="38">
        <f>LOG(G19)/LOG(G22)</f>
        <v>0.94665990816063272</v>
      </c>
      <c r="H26" s="6"/>
      <c r="I26" s="6"/>
      <c r="J26" s="6"/>
      <c r="K26"/>
      <c r="L26" t="s">
        <v>41</v>
      </c>
      <c r="M26" s="11">
        <f>SUM(M23:M25,M19)</f>
        <v>1.0263599437318658</v>
      </c>
      <c r="P26" s="63" t="s">
        <v>59</v>
      </c>
      <c r="Q26" s="63"/>
      <c r="R26" s="32">
        <v>0.95</v>
      </c>
      <c r="S26" s="33" t="s">
        <v>39</v>
      </c>
      <c r="T26" s="34">
        <v>1.25</v>
      </c>
      <c r="U26" s="35">
        <f>E26</f>
        <v>0.95036695375814484</v>
      </c>
      <c r="V26" s="36" t="str">
        <f t="shared" ref="V26:V28" si="8">IF(U26&gt;R26,"pass","fail")</f>
        <v>pass</v>
      </c>
    </row>
    <row r="27" spans="2:22" x14ac:dyDescent="0.2">
      <c r="H27" s="2"/>
      <c r="I27" s="2"/>
      <c r="J27" s="2"/>
      <c r="K27"/>
      <c r="P27" s="63" t="s">
        <v>55</v>
      </c>
      <c r="Q27" s="63"/>
      <c r="R27" s="32">
        <v>0.95</v>
      </c>
      <c r="S27" s="33" t="s">
        <v>39</v>
      </c>
      <c r="T27" s="34">
        <v>1.5</v>
      </c>
      <c r="U27" s="35">
        <f>F26</f>
        <v>1.0491918394604014</v>
      </c>
      <c r="V27" s="36" t="str">
        <f t="shared" si="8"/>
        <v>pass</v>
      </c>
    </row>
    <row r="28" spans="2:22" x14ac:dyDescent="0.2">
      <c r="B28" s="1" t="s">
        <v>42</v>
      </c>
      <c r="D28" s="61" t="s">
        <v>58</v>
      </c>
      <c r="E28" s="61" t="s">
        <v>59</v>
      </c>
      <c r="F28" s="61" t="s">
        <v>60</v>
      </c>
      <c r="G28" s="61" t="s">
        <v>61</v>
      </c>
      <c r="K28" s="61" t="s">
        <v>58</v>
      </c>
      <c r="L28" s="61" t="s">
        <v>59</v>
      </c>
      <c r="M28" s="61" t="s">
        <v>60</v>
      </c>
      <c r="N28" s="61" t="s">
        <v>61</v>
      </c>
      <c r="P28" s="63" t="s">
        <v>56</v>
      </c>
      <c r="Q28" s="63"/>
      <c r="R28" s="32">
        <v>0.95</v>
      </c>
      <c r="S28" s="33" t="s">
        <v>39</v>
      </c>
      <c r="T28" s="34">
        <v>1.5</v>
      </c>
      <c r="U28" s="35">
        <f>G26</f>
        <v>0.94665990816063272</v>
      </c>
      <c r="V28" s="36" t="str">
        <f t="shared" si="8"/>
        <v>fail</v>
      </c>
    </row>
    <row r="29" spans="2:22" x14ac:dyDescent="0.2">
      <c r="B29" s="48" t="s">
        <v>7</v>
      </c>
      <c r="C29" s="49" t="s">
        <v>8</v>
      </c>
      <c r="D29" s="2">
        <f>STDEV(D7:E7)</f>
        <v>51.395796175248705</v>
      </c>
      <c r="E29" s="2">
        <f>STDEV(F7:G7)</f>
        <v>616.75937015932107</v>
      </c>
      <c r="F29" s="2">
        <f>STDEV(H7:I7)</f>
        <v>1340.3221765313069</v>
      </c>
      <c r="G29" s="2">
        <f>STDEV(J7:K7)</f>
        <v>434.88720895023187</v>
      </c>
      <c r="I29" s="48" t="s">
        <v>7</v>
      </c>
      <c r="J29" s="49" t="s">
        <v>8</v>
      </c>
      <c r="K29" s="39">
        <f>D29/D18</f>
        <v>1.5190345150242771E-2</v>
      </c>
      <c r="L29" s="39">
        <f>E29/E18</f>
        <v>0.11168979019543532</v>
      </c>
      <c r="M29" s="39">
        <f>F29/F18</f>
        <v>0.11967081441069578</v>
      </c>
      <c r="N29" s="39">
        <f>G29/G18</f>
        <v>0.13213643410624223</v>
      </c>
      <c r="P29" s="26"/>
      <c r="U29" s="27"/>
    </row>
    <row r="30" spans="2:22" x14ac:dyDescent="0.2">
      <c r="B30" s="48" t="s">
        <v>9</v>
      </c>
      <c r="C30" s="50" t="s">
        <v>44</v>
      </c>
      <c r="D30" s="2">
        <f t="shared" ref="D30:D36" si="9">STDEV(D8:E8)</f>
        <v>217.43942087784586</v>
      </c>
      <c r="E30" s="2">
        <f t="shared" ref="E30:E36" si="10">STDEV(F8:G8)</f>
        <v>193.72294771397679</v>
      </c>
      <c r="F30" s="2">
        <f t="shared" ref="F30:F36" si="11">STDEV(H8:I8)</f>
        <v>363.72464929331244</v>
      </c>
      <c r="G30" s="2">
        <f t="shared" ref="G30:G36" si="12">STDEV(J8:K8)</f>
        <v>415.11212211464004</v>
      </c>
      <c r="I30" s="48" t="s">
        <v>9</v>
      </c>
      <c r="J30" s="50" t="s">
        <v>44</v>
      </c>
      <c r="K30" s="39">
        <f t="shared" ref="K30:N36" si="13">D30/D19</f>
        <v>0.30828078881353599</v>
      </c>
      <c r="L30" s="39">
        <f t="shared" si="13"/>
        <v>5.3622940128112265E-2</v>
      </c>
      <c r="M30" s="39">
        <f t="shared" si="13"/>
        <v>0.10138587094347432</v>
      </c>
      <c r="N30" s="39">
        <f t="shared" si="13"/>
        <v>0.47853258572476631</v>
      </c>
    </row>
    <row r="31" spans="2:22" x14ac:dyDescent="0.2">
      <c r="B31" s="48" t="s">
        <v>11</v>
      </c>
      <c r="C31" s="51" t="s">
        <v>10</v>
      </c>
      <c r="D31" s="2">
        <f t="shared" si="9"/>
        <v>403.26381260480701</v>
      </c>
      <c r="E31" s="2">
        <f t="shared" si="10"/>
        <v>699.78989548037737</v>
      </c>
      <c r="F31" s="2">
        <f t="shared" si="11"/>
        <v>205.60599243022205</v>
      </c>
      <c r="G31" s="2">
        <f t="shared" si="12"/>
        <v>1245.408639728033</v>
      </c>
      <c r="I31" s="48" t="s">
        <v>11</v>
      </c>
      <c r="J31" s="51" t="s">
        <v>10</v>
      </c>
      <c r="K31" s="39">
        <f t="shared" si="13"/>
        <v>8.2651503811167495E-2</v>
      </c>
      <c r="L31" s="39">
        <f t="shared" si="13"/>
        <v>0.1072359612734587</v>
      </c>
      <c r="M31" s="39">
        <f t="shared" si="13"/>
        <v>1.1239590329570434E-2</v>
      </c>
      <c r="N31" s="39">
        <f t="shared" si="13"/>
        <v>0.14369262025578869</v>
      </c>
    </row>
    <row r="32" spans="2:22" x14ac:dyDescent="0.2">
      <c r="B32" s="48" t="s">
        <v>12</v>
      </c>
      <c r="C32" s="52" t="s">
        <v>13</v>
      </c>
      <c r="D32" s="2">
        <f t="shared" si="9"/>
        <v>474.423751723995</v>
      </c>
      <c r="E32" s="2">
        <f t="shared" si="10"/>
        <v>683.97042620413924</v>
      </c>
      <c r="F32" s="2">
        <f t="shared" si="11"/>
        <v>23.721002182801968</v>
      </c>
      <c r="G32" s="2">
        <f t="shared" si="12"/>
        <v>142.324650502043</v>
      </c>
      <c r="I32" s="48" t="s">
        <v>12</v>
      </c>
      <c r="J32" s="52" t="s">
        <v>13</v>
      </c>
      <c r="K32" s="39">
        <f t="shared" si="13"/>
        <v>0.12922165189389717</v>
      </c>
      <c r="L32" s="39">
        <f t="shared" si="13"/>
        <v>0.12342373599321041</v>
      </c>
      <c r="M32" s="39">
        <f t="shared" si="13"/>
        <v>9.0529018655320977E-3</v>
      </c>
      <c r="N32" s="39">
        <f t="shared" si="13"/>
        <v>0.10666458460336907</v>
      </c>
    </row>
    <row r="33" spans="1:14" x14ac:dyDescent="0.2">
      <c r="B33" s="48" t="s">
        <v>14</v>
      </c>
      <c r="C33" s="53" t="s">
        <v>15</v>
      </c>
      <c r="D33" s="2">
        <f t="shared" si="9"/>
        <v>308.37300150636491</v>
      </c>
      <c r="E33" s="2">
        <f t="shared" si="10"/>
        <v>126.51520022178815</v>
      </c>
      <c r="F33" s="2">
        <f t="shared" si="11"/>
        <v>106.74436946191173</v>
      </c>
      <c r="G33" s="2">
        <f t="shared" si="12"/>
        <v>177.90572845151681</v>
      </c>
      <c r="I33" s="48" t="s">
        <v>14</v>
      </c>
      <c r="J33" s="53" t="s">
        <v>15</v>
      </c>
      <c r="K33" s="39">
        <f t="shared" si="13"/>
        <v>0.11819210013695194</v>
      </c>
      <c r="L33" s="39">
        <f t="shared" si="13"/>
        <v>2.1056000118556528E-2</v>
      </c>
      <c r="M33" s="39">
        <f t="shared" si="13"/>
        <v>4.3673488433879616E-2</v>
      </c>
      <c r="N33" s="39">
        <f t="shared" si="13"/>
        <v>0.1400807450686859</v>
      </c>
    </row>
    <row r="34" spans="1:14" x14ac:dyDescent="0.2">
      <c r="B34" s="48" t="s">
        <v>16</v>
      </c>
      <c r="C34" s="54" t="s">
        <v>17</v>
      </c>
      <c r="D34" s="2">
        <f t="shared" si="9"/>
        <v>27.674031731336896</v>
      </c>
      <c r="E34" s="2">
        <f t="shared" si="10"/>
        <v>55.348463685111817</v>
      </c>
      <c r="F34" s="2">
        <f t="shared" si="11"/>
        <v>43.487868194955745</v>
      </c>
      <c r="G34" s="2">
        <f t="shared" si="12"/>
        <v>31.627451602815242</v>
      </c>
      <c r="I34" s="48" t="s">
        <v>16</v>
      </c>
      <c r="J34" s="54" t="s">
        <v>17</v>
      </c>
      <c r="K34" s="39">
        <f t="shared" si="13"/>
        <v>8.2284182779758783E-2</v>
      </c>
      <c r="L34" s="39">
        <f t="shared" si="13"/>
        <v>4.2368318620994015E-2</v>
      </c>
      <c r="M34" s="39">
        <f t="shared" si="13"/>
        <v>6.6392685519355066E-2</v>
      </c>
      <c r="N34" s="39">
        <f t="shared" si="13"/>
        <v>0.11392470653677496</v>
      </c>
    </row>
    <row r="35" spans="1:14" x14ac:dyDescent="0.2">
      <c r="B35" s="48" t="s">
        <v>18</v>
      </c>
      <c r="C35" s="55" t="s">
        <v>19</v>
      </c>
      <c r="D35" s="2">
        <f t="shared" si="9"/>
        <v>47.44124634713404</v>
      </c>
      <c r="E35" s="2">
        <f t="shared" si="10"/>
        <v>201.62918429484941</v>
      </c>
      <c r="F35" s="2">
        <f t="shared" si="11"/>
        <v>23.720805607116649</v>
      </c>
      <c r="G35" s="2">
        <f t="shared" si="12"/>
        <v>268.83421013303695</v>
      </c>
      <c r="I35" s="48" t="s">
        <v>18</v>
      </c>
      <c r="J35" s="55" t="s">
        <v>19</v>
      </c>
      <c r="K35" s="39">
        <f t="shared" si="13"/>
        <v>0.10023458660559259</v>
      </c>
      <c r="L35" s="39">
        <f t="shared" si="13"/>
        <v>6.5789598270807367E-2</v>
      </c>
      <c r="M35" s="39">
        <f t="shared" si="13"/>
        <v>1.5733712713448283E-2</v>
      </c>
      <c r="N35" s="39">
        <f t="shared" si="13"/>
        <v>0.37666848369694739</v>
      </c>
    </row>
    <row r="36" spans="1:14" x14ac:dyDescent="0.2">
      <c r="B36" s="48" t="s">
        <v>20</v>
      </c>
      <c r="C36" s="56" t="s">
        <v>21</v>
      </c>
      <c r="D36" s="2">
        <f t="shared" si="9"/>
        <v>43.487897186333782</v>
      </c>
      <c r="E36" s="2">
        <f t="shared" si="10"/>
        <v>517.91178821036215</v>
      </c>
      <c r="F36" s="2">
        <f t="shared" si="11"/>
        <v>3.953458762351433</v>
      </c>
      <c r="G36" s="2">
        <f t="shared" si="12"/>
        <v>39.534416503672269</v>
      </c>
      <c r="I36" s="48" t="s">
        <v>20</v>
      </c>
      <c r="J36" s="56" t="s">
        <v>21</v>
      </c>
      <c r="K36" s="39">
        <f t="shared" si="13"/>
        <v>5.8414875045586574E-2</v>
      </c>
      <c r="L36" s="39">
        <f t="shared" si="13"/>
        <v>0.14961077850424065</v>
      </c>
      <c r="M36" s="39">
        <f t="shared" si="13"/>
        <v>3.3329975408468073E-3</v>
      </c>
      <c r="N36" s="39">
        <f t="shared" si="13"/>
        <v>6.3330113603777924E-2</v>
      </c>
    </row>
    <row r="37" spans="1:14" x14ac:dyDescent="0.2">
      <c r="K37"/>
    </row>
    <row r="38" spans="1:14" x14ac:dyDescent="0.2">
      <c r="D38" s="1" t="s">
        <v>43</v>
      </c>
      <c r="K38"/>
    </row>
    <row r="39" spans="1:14" x14ac:dyDescent="0.2">
      <c r="D39" s="61" t="s">
        <v>58</v>
      </c>
      <c r="E39" s="61" t="s">
        <v>59</v>
      </c>
      <c r="F39" s="61" t="s">
        <v>60</v>
      </c>
      <c r="G39" s="61" t="s">
        <v>61</v>
      </c>
      <c r="K39"/>
    </row>
    <row r="40" spans="1:14" x14ac:dyDescent="0.2">
      <c r="C40" s="40" t="s">
        <v>13</v>
      </c>
      <c r="D40" s="22">
        <f t="shared" ref="D40:G44" si="14">(D21*$K21)/(D$21*$K$21)</f>
        <v>1</v>
      </c>
      <c r="E40" s="22">
        <f t="shared" si="14"/>
        <v>1</v>
      </c>
      <c r="F40" s="22">
        <f t="shared" si="14"/>
        <v>1</v>
      </c>
      <c r="G40" s="22">
        <f t="shared" si="14"/>
        <v>1</v>
      </c>
      <c r="K40"/>
    </row>
    <row r="41" spans="1:14" ht="16" thickBot="1" x14ac:dyDescent="0.25">
      <c r="C41" s="41" t="s">
        <v>15</v>
      </c>
      <c r="D41" s="42">
        <f t="shared" si="14"/>
        <v>1.42130328206776</v>
      </c>
      <c r="E41" s="42">
        <f t="shared" si="14"/>
        <v>2.1684938396351803</v>
      </c>
      <c r="F41" s="42">
        <f>(F22*$K22)/(F$21*$K$21)</f>
        <v>1.8655713701095402</v>
      </c>
      <c r="G41" s="42">
        <f t="shared" si="14"/>
        <v>1.9036259013150019</v>
      </c>
      <c r="K41"/>
    </row>
    <row r="42" spans="1:14" x14ac:dyDescent="0.2">
      <c r="C42" s="43" t="s">
        <v>17</v>
      </c>
      <c r="D42" s="44">
        <f t="shared" si="14"/>
        <v>0.18321243000461365</v>
      </c>
      <c r="E42" s="44">
        <f t="shared" si="14"/>
        <v>0.47147177785407451</v>
      </c>
      <c r="F42" s="44">
        <f t="shared" si="14"/>
        <v>0.49995700501716872</v>
      </c>
      <c r="G42" s="44">
        <f t="shared" si="14"/>
        <v>0.41611789926406789</v>
      </c>
      <c r="K42"/>
    </row>
    <row r="43" spans="1:14" x14ac:dyDescent="0.2">
      <c r="C43" s="45" t="s">
        <v>19</v>
      </c>
      <c r="D43" s="22">
        <f t="shared" si="14"/>
        <v>5.8012270743305866E-2</v>
      </c>
      <c r="E43" s="22">
        <f t="shared" si="14"/>
        <v>0.24886856105967659</v>
      </c>
      <c r="F43" s="22">
        <f t="shared" si="14"/>
        <v>0.25891994814568053</v>
      </c>
      <c r="G43" s="22">
        <f t="shared" si="14"/>
        <v>0.24070099403434286</v>
      </c>
    </row>
    <row r="44" spans="1:14" x14ac:dyDescent="0.2">
      <c r="A44" s="12"/>
      <c r="C44" s="46" t="s">
        <v>21</v>
      </c>
      <c r="D44" s="22">
        <f t="shared" si="14"/>
        <v>0.18249725254175403</v>
      </c>
      <c r="E44" s="22">
        <f t="shared" si="14"/>
        <v>0.56220769694499362</v>
      </c>
      <c r="F44" s="22">
        <f t="shared" si="14"/>
        <v>0.40741733951480913</v>
      </c>
      <c r="G44" s="22">
        <f t="shared" si="14"/>
        <v>0.42106359689517669</v>
      </c>
      <c r="K44"/>
    </row>
    <row r="45" spans="1:14" x14ac:dyDescent="0.2">
      <c r="C45" s="47" t="s">
        <v>10</v>
      </c>
      <c r="D45" s="22">
        <f>(D19*$K19)/(D$21*$K$21)</f>
        <v>8.6451632738613865E-2</v>
      </c>
      <c r="E45" s="22">
        <f>(E19*$K19)/(E$21*$K$21)</f>
        <v>0.29336231510635863</v>
      </c>
      <c r="F45" s="22">
        <f>(F19*$K19)/(F$21*$K$21)</f>
        <v>0.61611614644261459</v>
      </c>
      <c r="G45" s="22">
        <f>(G19*$K19)/(G$21*$K$21)</f>
        <v>0.29255433214717558</v>
      </c>
      <c r="K45"/>
    </row>
    <row r="46" spans="1:14" x14ac:dyDescent="0.2">
      <c r="D46" s="11">
        <f>SUM(D42:D45)</f>
        <v>0.51017358602828744</v>
      </c>
      <c r="E46" s="11">
        <f t="shared" ref="E46:G46" si="15">SUM(E42:E45)</f>
        <v>1.5759103509651033</v>
      </c>
      <c r="F46" s="11">
        <f>SUM(F42:F45)</f>
        <v>1.7824104391202729</v>
      </c>
      <c r="G46" s="11">
        <f t="shared" si="15"/>
        <v>1.3704368223407628</v>
      </c>
      <c r="K46"/>
    </row>
    <row r="47" spans="1:14" x14ac:dyDescent="0.2">
      <c r="K47"/>
    </row>
    <row r="48" spans="1:14" x14ac:dyDescent="0.2">
      <c r="K48"/>
    </row>
    <row r="49" spans="1:11" x14ac:dyDescent="0.2">
      <c r="K49"/>
    </row>
    <row r="50" spans="1:11" x14ac:dyDescent="0.2">
      <c r="K50"/>
    </row>
    <row r="51" spans="1:11" x14ac:dyDescent="0.2">
      <c r="K51"/>
    </row>
    <row r="52" spans="1:11" x14ac:dyDescent="0.2">
      <c r="K52"/>
    </row>
    <row r="53" spans="1:11" x14ac:dyDescent="0.2">
      <c r="K53"/>
    </row>
    <row r="54" spans="1:11" x14ac:dyDescent="0.2">
      <c r="K54"/>
    </row>
    <row r="55" spans="1:11" x14ac:dyDescent="0.2">
      <c r="A55" s="12"/>
      <c r="K55"/>
    </row>
  </sheetData>
  <mergeCells count="21">
    <mergeCell ref="P20:R20"/>
    <mergeCell ref="S20:T20"/>
    <mergeCell ref="D5:E5"/>
    <mergeCell ref="F5:G5"/>
    <mergeCell ref="H5:I5"/>
    <mergeCell ref="J5:K5"/>
    <mergeCell ref="L16:L17"/>
    <mergeCell ref="P17:R17"/>
    <mergeCell ref="S17:T17"/>
    <mergeCell ref="P18:R18"/>
    <mergeCell ref="S18:T18"/>
    <mergeCell ref="P19:R19"/>
    <mergeCell ref="S19:T19"/>
    <mergeCell ref="P27:Q27"/>
    <mergeCell ref="P28:Q28"/>
    <mergeCell ref="P21:R21"/>
    <mergeCell ref="S21:T21"/>
    <mergeCell ref="P24:Q24"/>
    <mergeCell ref="R24:T24"/>
    <mergeCell ref="P25:Q25"/>
    <mergeCell ref="P26:Q26"/>
  </mergeCells>
  <conditionalFormatting sqref="D7:O14">
    <cfRule type="cellIs" dxfId="11" priority="4" operator="lessThanOrEqual">
      <formula>$U$19</formula>
    </cfRule>
  </conditionalFormatting>
  <conditionalFormatting sqref="U20:V20">
    <cfRule type="cellIs" dxfId="10" priority="3" operator="lessThan">
      <formula>4</formula>
    </cfRule>
  </conditionalFormatting>
  <conditionalFormatting sqref="U21:V21">
    <cfRule type="cellIs" dxfId="9" priority="2" operator="lessThan">
      <formula>1</formula>
    </cfRule>
  </conditionalFormatting>
  <conditionalFormatting sqref="V25:V28">
    <cfRule type="cellIs" dxfId="8" priority="1" operator="equal">
      <formula>"fail"</formula>
    </cfRule>
  </conditionalFormatting>
  <pageMargins left="0.7" right="0.7" top="0.75" bottom="0.75" header="0.3" footer="0.3"/>
  <pageSetup scale="4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55"/>
  <sheetViews>
    <sheetView zoomScale="85" zoomScaleNormal="85" workbookViewId="0">
      <selection activeCell="P20" sqref="P20:R21"/>
    </sheetView>
  </sheetViews>
  <sheetFormatPr baseColWidth="10" defaultColWidth="8.83203125" defaultRowHeight="15" x14ac:dyDescent="0.2"/>
  <cols>
    <col min="1" max="1" width="7.33203125" customWidth="1"/>
    <col min="2" max="2" width="8.6640625" bestFit="1" customWidth="1"/>
    <col min="3" max="3" width="12.1640625" bestFit="1" customWidth="1"/>
    <col min="4" max="5" width="9.6640625" bestFit="1" customWidth="1"/>
    <col min="6" max="6" width="11.6640625" bestFit="1" customWidth="1"/>
    <col min="7" max="7" width="11.5" bestFit="1" customWidth="1"/>
    <col min="8" max="9" width="9.6640625" bestFit="1" customWidth="1"/>
    <col min="10" max="10" width="9.5" bestFit="1" customWidth="1"/>
    <col min="11" max="11" width="10" style="12" bestFit="1" customWidth="1"/>
    <col min="12" max="13" width="9.6640625" bestFit="1" customWidth="1"/>
    <col min="14" max="14" width="8.33203125" bestFit="1" customWidth="1"/>
    <col min="15" max="15" width="10.6640625" customWidth="1"/>
    <col min="16" max="16" width="12" bestFit="1" customWidth="1"/>
  </cols>
  <sheetData>
    <row r="1" spans="1:30" x14ac:dyDescent="0.2">
      <c r="D1" s="1"/>
      <c r="F1" s="1"/>
      <c r="G1" s="1"/>
      <c r="H1" s="1"/>
      <c r="I1" s="1"/>
      <c r="K1"/>
      <c r="L1" t="s">
        <v>0</v>
      </c>
      <c r="M1" s="2">
        <f>MAX(M7:M14)</f>
        <v>238.48017300000001</v>
      </c>
    </row>
    <row r="2" spans="1:30" x14ac:dyDescent="0.2">
      <c r="K2"/>
      <c r="L2" t="s">
        <v>1</v>
      </c>
      <c r="M2" s="2">
        <f>AVERAGE(M7:M14)</f>
        <v>196.54772237499998</v>
      </c>
    </row>
    <row r="3" spans="1:30" x14ac:dyDescent="0.2">
      <c r="B3" s="1" t="s">
        <v>2</v>
      </c>
      <c r="C3" s="1" t="s">
        <v>3</v>
      </c>
      <c r="D3" s="58"/>
      <c r="E3" s="3"/>
      <c r="F3" s="4"/>
      <c r="G3" s="5"/>
      <c r="K3"/>
      <c r="L3" t="s">
        <v>4</v>
      </c>
      <c r="M3" s="2">
        <f>STDEV(M7:M14)</f>
        <v>32.325694212243675</v>
      </c>
    </row>
    <row r="4" spans="1:30" x14ac:dyDescent="0.2">
      <c r="B4" s="59" t="s">
        <v>50</v>
      </c>
      <c r="C4" s="60" t="s">
        <v>48</v>
      </c>
      <c r="D4" s="9" t="s">
        <v>47</v>
      </c>
      <c r="E4" s="9" t="s">
        <v>51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30" x14ac:dyDescent="0.2">
      <c r="D5" s="66" t="s">
        <v>53</v>
      </c>
      <c r="E5" s="66"/>
      <c r="F5" s="66" t="s">
        <v>54</v>
      </c>
      <c r="G5" s="66"/>
      <c r="H5" s="66" t="s">
        <v>55</v>
      </c>
      <c r="I5" s="66"/>
      <c r="J5" s="67" t="s">
        <v>56</v>
      </c>
      <c r="K5" s="67"/>
      <c r="L5" s="61" t="s">
        <v>57</v>
      </c>
      <c r="M5" s="61" t="s">
        <v>5</v>
      </c>
      <c r="N5" s="61" t="s">
        <v>6</v>
      </c>
      <c r="O5" s="61" t="s">
        <v>6</v>
      </c>
      <c r="Q5" t="s">
        <v>45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>
        <v>9</v>
      </c>
      <c r="AB5">
        <v>10</v>
      </c>
      <c r="AC5">
        <v>11</v>
      </c>
      <c r="AD5">
        <v>12</v>
      </c>
    </row>
    <row r="6" spans="1:30" x14ac:dyDescent="0.2">
      <c r="C6" s="8"/>
      <c r="D6" s="9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S6">
        <v>2888.6378</v>
      </c>
      <c r="T6">
        <v>3257.6512349999998</v>
      </c>
      <c r="U6">
        <v>5488.526758</v>
      </c>
      <c r="V6">
        <v>5812.8175110000002</v>
      </c>
      <c r="W6">
        <v>13361.185409</v>
      </c>
      <c r="X6">
        <v>11158.136452000001</v>
      </c>
      <c r="Y6">
        <v>4068.3661269999998</v>
      </c>
      <c r="Z6">
        <v>3274.4245970000002</v>
      </c>
      <c r="AA6">
        <v>210.52520200000001</v>
      </c>
      <c r="AB6">
        <v>182.57023699999999</v>
      </c>
      <c r="AC6" t="s">
        <v>46</v>
      </c>
      <c r="AD6" t="s">
        <v>46</v>
      </c>
    </row>
    <row r="7" spans="1:30" x14ac:dyDescent="0.2">
      <c r="A7" t="s">
        <v>7</v>
      </c>
      <c r="B7" s="48" t="s">
        <v>7</v>
      </c>
      <c r="C7" s="49" t="s">
        <v>8</v>
      </c>
      <c r="D7" s="10">
        <v>2888.6378</v>
      </c>
      <c r="E7" s="10">
        <v>3257.6512349999998</v>
      </c>
      <c r="F7" s="10">
        <v>5488.526758</v>
      </c>
      <c r="G7" s="10">
        <v>5812.8175110000002</v>
      </c>
      <c r="H7" s="10">
        <v>13361.185409</v>
      </c>
      <c r="I7" s="10">
        <v>11158.136452000001</v>
      </c>
      <c r="J7" s="10">
        <v>4068.3661269999998</v>
      </c>
      <c r="K7" s="10">
        <v>3274.4245970000002</v>
      </c>
      <c r="L7" s="10">
        <v>210.52520200000001</v>
      </c>
      <c r="M7" s="10">
        <v>182.57023699999999</v>
      </c>
      <c r="N7" s="10">
        <v>0</v>
      </c>
      <c r="O7" s="10">
        <v>0</v>
      </c>
      <c r="S7">
        <v>702.53353600000003</v>
      </c>
      <c r="T7">
        <v>641.03239599999995</v>
      </c>
      <c r="U7">
        <v>2849.5000709999999</v>
      </c>
      <c r="V7">
        <v>2530.807558</v>
      </c>
      <c r="W7">
        <v>2290.3908999999999</v>
      </c>
      <c r="X7">
        <v>2268.0265810000001</v>
      </c>
      <c r="Y7">
        <v>506.848187</v>
      </c>
      <c r="Z7">
        <v>473.30215600000002</v>
      </c>
      <c r="AA7">
        <v>188.16122999999999</v>
      </c>
      <c r="AB7">
        <v>171.38825299999999</v>
      </c>
      <c r="AC7" t="s">
        <v>46</v>
      </c>
      <c r="AD7" t="s">
        <v>46</v>
      </c>
    </row>
    <row r="8" spans="1:30" x14ac:dyDescent="0.2">
      <c r="A8" t="s">
        <v>9</v>
      </c>
      <c r="B8" s="48" t="s">
        <v>9</v>
      </c>
      <c r="C8" s="50" t="s">
        <v>44</v>
      </c>
      <c r="D8" s="10">
        <v>702.53353600000003</v>
      </c>
      <c r="E8" s="10">
        <v>641.03239599999995</v>
      </c>
      <c r="F8" s="10">
        <v>2849.5000709999999</v>
      </c>
      <c r="G8" s="10">
        <v>2530.807558</v>
      </c>
      <c r="H8" s="10">
        <v>2290.3908999999999</v>
      </c>
      <c r="I8" s="10">
        <v>2268.0265810000001</v>
      </c>
      <c r="J8" s="10">
        <v>506.848187</v>
      </c>
      <c r="K8" s="10">
        <v>473.30215600000002</v>
      </c>
      <c r="L8" s="10">
        <v>188.16122999999999</v>
      </c>
      <c r="M8" s="10">
        <v>171.38825299999999</v>
      </c>
      <c r="N8" s="10">
        <v>0</v>
      </c>
      <c r="O8" s="10">
        <v>0</v>
      </c>
      <c r="S8">
        <v>6757.7381310000001</v>
      </c>
      <c r="T8">
        <v>6014.1018199999999</v>
      </c>
      <c r="U8">
        <v>7803.308927</v>
      </c>
      <c r="V8">
        <v>7915.1351619999996</v>
      </c>
      <c r="W8">
        <v>26160.831375999998</v>
      </c>
      <c r="X8">
        <v>24857.884647999999</v>
      </c>
      <c r="Y8">
        <v>10526.304201000001</v>
      </c>
      <c r="Z8">
        <v>10621.35842</v>
      </c>
      <c r="AA8">
        <v>171.38825299999999</v>
      </c>
      <c r="AB8">
        <v>204.93420900000001</v>
      </c>
      <c r="AC8" t="s">
        <v>46</v>
      </c>
      <c r="AD8" t="s">
        <v>46</v>
      </c>
    </row>
    <row r="9" spans="1:30" x14ac:dyDescent="0.2">
      <c r="A9" t="s">
        <v>11</v>
      </c>
      <c r="B9" s="48" t="s">
        <v>11</v>
      </c>
      <c r="C9" s="51" t="s">
        <v>10</v>
      </c>
      <c r="D9" s="10">
        <v>6757.7381310000001</v>
      </c>
      <c r="E9" s="10">
        <v>6014.1018199999999</v>
      </c>
      <c r="F9" s="10">
        <v>7803.308927</v>
      </c>
      <c r="G9" s="10">
        <v>7915.1351619999996</v>
      </c>
      <c r="H9" s="10">
        <v>26160.831375999998</v>
      </c>
      <c r="I9" s="10">
        <v>24857.884647999999</v>
      </c>
      <c r="J9" s="10">
        <v>10526.304201000001</v>
      </c>
      <c r="K9" s="10">
        <v>10621.35842</v>
      </c>
      <c r="L9" s="10">
        <v>171.38825299999999</v>
      </c>
      <c r="M9" s="10">
        <v>204.93420900000001</v>
      </c>
      <c r="N9" s="10">
        <v>0</v>
      </c>
      <c r="O9" s="10">
        <v>0</v>
      </c>
      <c r="S9">
        <v>3922.9962</v>
      </c>
      <c r="T9">
        <v>3911.813905</v>
      </c>
      <c r="U9">
        <v>6606.7740359999998</v>
      </c>
      <c r="V9">
        <v>6724.1905399999996</v>
      </c>
      <c r="W9">
        <v>3117.8733000000002</v>
      </c>
      <c r="X9">
        <v>2922.1844339999998</v>
      </c>
      <c r="Y9">
        <v>1518.824063</v>
      </c>
      <c r="Z9">
        <v>1619.4629640000001</v>
      </c>
      <c r="AA9">
        <v>182.57023699999999</v>
      </c>
      <c r="AB9">
        <v>154.61527799999999</v>
      </c>
      <c r="AC9" t="s">
        <v>46</v>
      </c>
      <c r="AD9" t="s">
        <v>46</v>
      </c>
    </row>
    <row r="10" spans="1:30" x14ac:dyDescent="0.2">
      <c r="A10" t="s">
        <v>12</v>
      </c>
      <c r="B10" s="48" t="s">
        <v>12</v>
      </c>
      <c r="C10" s="52" t="s">
        <v>13</v>
      </c>
      <c r="D10" s="10">
        <v>3922.9962</v>
      </c>
      <c r="E10" s="10">
        <v>3911.813905</v>
      </c>
      <c r="F10" s="10">
        <v>6606.7740359999998</v>
      </c>
      <c r="G10" s="10">
        <v>6724.1905399999996</v>
      </c>
      <c r="H10" s="10">
        <v>3117.8733000000002</v>
      </c>
      <c r="I10" s="10">
        <v>2922.1844339999998</v>
      </c>
      <c r="J10" s="10">
        <v>1518.824063</v>
      </c>
      <c r="K10" s="10">
        <v>1619.4629640000001</v>
      </c>
      <c r="L10" s="10">
        <v>182.57023699999999</v>
      </c>
      <c r="M10" s="10">
        <v>154.61527799999999</v>
      </c>
      <c r="N10" s="10">
        <v>0</v>
      </c>
      <c r="O10" s="10">
        <v>0</v>
      </c>
      <c r="S10">
        <v>2933.3666469999998</v>
      </c>
      <c r="T10">
        <v>2307.1641410000002</v>
      </c>
      <c r="U10">
        <v>5046.8216469999998</v>
      </c>
      <c r="V10">
        <v>6494.9488890000002</v>
      </c>
      <c r="W10">
        <v>3000.4599459999999</v>
      </c>
      <c r="X10">
        <v>3078.7355040000002</v>
      </c>
      <c r="Y10">
        <v>1764.8304000000001</v>
      </c>
      <c r="Z10">
        <v>1608.280861</v>
      </c>
      <c r="AA10">
        <v>160.20626899999999</v>
      </c>
      <c r="AB10">
        <v>232.88917799999999</v>
      </c>
      <c r="AC10" t="s">
        <v>46</v>
      </c>
      <c r="AD10" t="s">
        <v>46</v>
      </c>
    </row>
    <row r="11" spans="1:30" x14ac:dyDescent="0.2">
      <c r="A11" t="s">
        <v>14</v>
      </c>
      <c r="B11" s="48" t="s">
        <v>14</v>
      </c>
      <c r="C11" s="53" t="s">
        <v>15</v>
      </c>
      <c r="D11" s="10">
        <v>2933.3666469999998</v>
      </c>
      <c r="E11" s="10">
        <v>2307.1641410000002</v>
      </c>
      <c r="F11" s="10">
        <v>5046.8216469999998</v>
      </c>
      <c r="G11" s="10">
        <v>6494.9488890000002</v>
      </c>
      <c r="H11" s="10">
        <v>3000.4599459999999</v>
      </c>
      <c r="I11" s="10">
        <v>3078.7355040000002</v>
      </c>
      <c r="J11" s="10">
        <v>1764.8304000000001</v>
      </c>
      <c r="K11" s="10">
        <v>1608.280861</v>
      </c>
      <c r="L11" s="10">
        <v>160.20626899999999</v>
      </c>
      <c r="M11" s="10">
        <v>232.88917799999999</v>
      </c>
      <c r="N11" s="10">
        <v>0</v>
      </c>
      <c r="O11" s="10">
        <v>0</v>
      </c>
      <c r="S11">
        <v>272.02614499999999</v>
      </c>
      <c r="T11">
        <v>260.84415300000001</v>
      </c>
      <c r="U11">
        <v>1049.1768529999999</v>
      </c>
      <c r="V11">
        <v>797.58080800000005</v>
      </c>
      <c r="W11">
        <v>708.12455</v>
      </c>
      <c r="X11">
        <v>624.25936200000001</v>
      </c>
      <c r="Y11">
        <v>339.11811499999999</v>
      </c>
      <c r="Z11">
        <v>244.071168</v>
      </c>
      <c r="AA11">
        <v>193.75222199999999</v>
      </c>
      <c r="AB11">
        <v>221.70719</v>
      </c>
      <c r="AC11" t="s">
        <v>46</v>
      </c>
      <c r="AD11" t="s">
        <v>46</v>
      </c>
    </row>
    <row r="12" spans="1:30" x14ac:dyDescent="0.2">
      <c r="A12" t="s">
        <v>16</v>
      </c>
      <c r="B12" s="48" t="s">
        <v>16</v>
      </c>
      <c r="C12" s="54" t="s">
        <v>17</v>
      </c>
      <c r="D12" s="10">
        <v>272.02614499999999</v>
      </c>
      <c r="E12" s="10">
        <v>260.84415300000001</v>
      </c>
      <c r="F12" s="10">
        <v>1049.1768529999999</v>
      </c>
      <c r="G12" s="10">
        <v>797.58080800000005</v>
      </c>
      <c r="H12" s="10">
        <v>708.12455</v>
      </c>
      <c r="I12" s="10">
        <v>624.25936200000001</v>
      </c>
      <c r="J12" s="10">
        <v>339.11811499999999</v>
      </c>
      <c r="K12" s="10">
        <v>244.071168</v>
      </c>
      <c r="L12" s="10">
        <v>193.75222199999999</v>
      </c>
      <c r="M12" s="10">
        <v>221.70719</v>
      </c>
      <c r="N12" s="10">
        <v>0</v>
      </c>
      <c r="O12" s="10">
        <v>0</v>
      </c>
      <c r="S12">
        <v>618.66835200000003</v>
      </c>
      <c r="T12">
        <v>557.16724999999997</v>
      </c>
      <c r="U12">
        <v>3458.9317169999999</v>
      </c>
      <c r="V12">
        <v>2804.771252</v>
      </c>
      <c r="W12">
        <v>1742.466169</v>
      </c>
      <c r="X12">
        <v>2301.5730600000002</v>
      </c>
      <c r="Y12">
        <v>864.67304100000001</v>
      </c>
      <c r="Z12">
        <v>791.98978999999997</v>
      </c>
      <c r="AA12">
        <v>176.97924499999999</v>
      </c>
      <c r="AB12">
        <v>238.48017300000001</v>
      </c>
      <c r="AC12" t="s">
        <v>46</v>
      </c>
      <c r="AD12" t="s">
        <v>46</v>
      </c>
    </row>
    <row r="13" spans="1:30" x14ac:dyDescent="0.2">
      <c r="A13" t="s">
        <v>18</v>
      </c>
      <c r="B13" s="48" t="s">
        <v>18</v>
      </c>
      <c r="C13" s="55" t="s">
        <v>19</v>
      </c>
      <c r="D13" s="10">
        <v>618.66835200000003</v>
      </c>
      <c r="E13" s="10">
        <v>557.16724999999997</v>
      </c>
      <c r="F13" s="10">
        <v>3458.9317169999999</v>
      </c>
      <c r="G13" s="10">
        <v>2804.771252</v>
      </c>
      <c r="H13" s="10">
        <v>1742.466169</v>
      </c>
      <c r="I13" s="10">
        <v>2301.5730600000002</v>
      </c>
      <c r="J13" s="10">
        <v>864.67304100000001</v>
      </c>
      <c r="K13" s="10">
        <v>791.98978999999997</v>
      </c>
      <c r="L13" s="10">
        <v>176.97924499999999</v>
      </c>
      <c r="M13" s="10">
        <v>238.48017300000001</v>
      </c>
      <c r="N13" s="10">
        <v>0</v>
      </c>
      <c r="O13" s="10">
        <v>0</v>
      </c>
      <c r="S13">
        <v>613.07734100000005</v>
      </c>
      <c r="T13">
        <v>775.21673799999996</v>
      </c>
      <c r="U13">
        <v>3872.675878</v>
      </c>
      <c r="V13">
        <v>3805.5821430000001</v>
      </c>
      <c r="W13">
        <v>1334.319606</v>
      </c>
      <c r="X13">
        <v>1228.089882</v>
      </c>
      <c r="Y13">
        <v>478.89316100000002</v>
      </c>
      <c r="Z13">
        <v>579.53128400000003</v>
      </c>
      <c r="AA13">
        <v>188.16122999999999</v>
      </c>
      <c r="AB13">
        <v>165.79726099999999</v>
      </c>
      <c r="AC13" t="s">
        <v>46</v>
      </c>
      <c r="AD13" t="s">
        <v>46</v>
      </c>
    </row>
    <row r="14" spans="1:30" x14ac:dyDescent="0.2">
      <c r="A14" t="s">
        <v>20</v>
      </c>
      <c r="B14" s="48" t="s">
        <v>20</v>
      </c>
      <c r="C14" s="56" t="s">
        <v>21</v>
      </c>
      <c r="D14" s="10">
        <v>613.07734100000005</v>
      </c>
      <c r="E14" s="10">
        <v>775.21673799999996</v>
      </c>
      <c r="F14" s="10">
        <v>3872.675878</v>
      </c>
      <c r="G14" s="10">
        <v>3805.5821430000001</v>
      </c>
      <c r="H14" s="10">
        <v>1334.319606</v>
      </c>
      <c r="I14" s="10">
        <v>1228.089882</v>
      </c>
      <c r="J14" s="10">
        <v>478.89316100000002</v>
      </c>
      <c r="K14" s="10">
        <v>579.53128400000003</v>
      </c>
      <c r="L14" s="10">
        <v>188.16122999999999</v>
      </c>
      <c r="M14" s="10">
        <v>165.79726099999999</v>
      </c>
      <c r="N14" s="10">
        <v>0</v>
      </c>
      <c r="O14" s="10">
        <v>0</v>
      </c>
    </row>
    <row r="16" spans="1:30" ht="16" x14ac:dyDescent="0.2">
      <c r="C16" s="1"/>
      <c r="J16" s="12"/>
      <c r="K16"/>
      <c r="L16" s="68" t="s">
        <v>22</v>
      </c>
      <c r="P16" s="13" t="s">
        <v>23</v>
      </c>
      <c r="S16" s="14"/>
      <c r="U16" s="15"/>
    </row>
    <row r="17" spans="2:22" ht="16" x14ac:dyDescent="0.2">
      <c r="D17" s="61" t="s">
        <v>58</v>
      </c>
      <c r="E17" s="61" t="s">
        <v>59</v>
      </c>
      <c r="F17" s="61" t="s">
        <v>60</v>
      </c>
      <c r="G17" s="61" t="s">
        <v>61</v>
      </c>
      <c r="H17" s="61" t="s">
        <v>57</v>
      </c>
      <c r="I17" s="61" t="s">
        <v>5</v>
      </c>
      <c r="J17" s="16" t="s">
        <v>24</v>
      </c>
      <c r="K17" s="1" t="s">
        <v>25</v>
      </c>
      <c r="L17" s="68"/>
      <c r="M17" s="1" t="s">
        <v>26</v>
      </c>
      <c r="P17" s="65" t="s">
        <v>27</v>
      </c>
      <c r="Q17" s="65"/>
      <c r="R17" s="65"/>
      <c r="S17" s="65" t="s">
        <v>28</v>
      </c>
      <c r="T17" s="65"/>
      <c r="U17" s="57" t="s">
        <v>29</v>
      </c>
      <c r="V17" s="57" t="s">
        <v>8</v>
      </c>
    </row>
    <row r="18" spans="2:22" x14ac:dyDescent="0.2">
      <c r="B18" s="48" t="s">
        <v>7</v>
      </c>
      <c r="C18" s="49" t="s">
        <v>8</v>
      </c>
      <c r="D18" s="18">
        <f t="shared" ref="D18:D25" si="0">AVERAGE(D7:E7)</f>
        <v>3073.1445174999999</v>
      </c>
      <c r="E18" s="18">
        <f t="shared" ref="E18:E25" si="1">AVERAGE(F7:G7)</f>
        <v>5650.6721345000005</v>
      </c>
      <c r="F18" s="18">
        <f t="shared" ref="F18:F25" si="2">AVERAGE(H7:I7)</f>
        <v>12259.6609305</v>
      </c>
      <c r="G18" s="18">
        <f t="shared" ref="G18:G25" si="3">AVERAGE(J7:K7)</f>
        <v>3671.3953620000002</v>
      </c>
      <c r="H18" s="18">
        <f t="shared" ref="H18:I25" si="4">AVERAGE(L7)</f>
        <v>210.52520200000001</v>
      </c>
      <c r="I18" s="18">
        <f t="shared" si="4"/>
        <v>182.57023699999999</v>
      </c>
      <c r="J18" s="18">
        <f>AVERAGE((IF(D18&gt;$U$19,D18,"")),(IF(E18&gt;$U$19,E18,"")),(IF(F18&gt;$U$19,F18,"")),(IF(G18&gt;$U$19,G18,"")))</f>
        <v>6163.7182361250007</v>
      </c>
      <c r="K18" s="19"/>
      <c r="L18" s="19"/>
      <c r="M18" s="19"/>
      <c r="P18" s="64" t="s">
        <v>30</v>
      </c>
      <c r="Q18" s="64"/>
      <c r="R18" s="64"/>
      <c r="S18" s="69" t="s">
        <v>31</v>
      </c>
      <c r="T18" s="69"/>
      <c r="U18" s="20">
        <f>AVERAGE(M8:M14)</f>
        <v>198.54450599999998</v>
      </c>
      <c r="V18" s="20">
        <f>M7</f>
        <v>182.57023699999999</v>
      </c>
    </row>
    <row r="19" spans="2:22" x14ac:dyDescent="0.2">
      <c r="B19" s="48" t="s">
        <v>9</v>
      </c>
      <c r="C19" s="50" t="s">
        <v>44</v>
      </c>
      <c r="D19" s="18">
        <f t="shared" si="0"/>
        <v>671.78296599999999</v>
      </c>
      <c r="E19" s="18">
        <f t="shared" si="1"/>
        <v>2690.1538145</v>
      </c>
      <c r="F19" s="18">
        <f t="shared" si="2"/>
        <v>2279.2087405000002</v>
      </c>
      <c r="G19" s="18">
        <f t="shared" si="3"/>
        <v>490.07517150000001</v>
      </c>
      <c r="H19" s="18">
        <f t="shared" si="4"/>
        <v>188.16122999999999</v>
      </c>
      <c r="I19" s="18">
        <f t="shared" si="4"/>
        <v>171.38825299999999</v>
      </c>
      <c r="J19" s="18">
        <f t="shared" ref="J19:J25" si="5">AVERAGE((IF(D19&gt;$U$19,D19-$U$19,0)),(IF(E19&gt;$U$19,E19-$U$19,0)),(IF(F19&gt;$U$19,F19-$U$19,0)),(IF(G19&gt;$U$19,G19-$U$19,0)))</f>
        <v>1206.9546739010254</v>
      </c>
      <c r="K19" s="30">
        <v>4.4999999999999998E-2</v>
      </c>
      <c r="L19" s="18">
        <f t="shared" ref="L19:L20" si="6">K19*J19</f>
        <v>54.312960325546143</v>
      </c>
      <c r="M19" s="22">
        <f>L19/$L$21</f>
        <v>0.15664950828269056</v>
      </c>
      <c r="P19" s="64" t="s">
        <v>32</v>
      </c>
      <c r="Q19" s="64"/>
      <c r="R19" s="64"/>
      <c r="S19" s="64" t="s">
        <v>33</v>
      </c>
      <c r="T19" s="64"/>
      <c r="U19" s="20">
        <f>AVERAGE(M7:M14)+(4*M3)</f>
        <v>325.85049922397468</v>
      </c>
      <c r="V19" s="20">
        <f>U19</f>
        <v>325.85049922397468</v>
      </c>
    </row>
    <row r="20" spans="2:22" x14ac:dyDescent="0.2">
      <c r="B20" s="48" t="s">
        <v>11</v>
      </c>
      <c r="C20" s="51" t="s">
        <v>10</v>
      </c>
      <c r="D20" s="18">
        <f t="shared" si="0"/>
        <v>6385.9199755</v>
      </c>
      <c r="E20" s="18">
        <f t="shared" si="1"/>
        <v>7859.2220445000003</v>
      </c>
      <c r="F20" s="18">
        <f t="shared" si="2"/>
        <v>25509.358011999997</v>
      </c>
      <c r="G20" s="18">
        <f t="shared" si="3"/>
        <v>10573.831310500002</v>
      </c>
      <c r="H20" s="18">
        <f t="shared" si="4"/>
        <v>171.38825299999999</v>
      </c>
      <c r="I20" s="18">
        <f t="shared" si="4"/>
        <v>204.93420900000001</v>
      </c>
      <c r="J20" s="18">
        <f t="shared" si="5"/>
        <v>12256.232336401024</v>
      </c>
      <c r="K20" s="30">
        <v>4.4999999999999998E-2</v>
      </c>
      <c r="L20" s="18">
        <f t="shared" si="6"/>
        <v>551.53045513804614</v>
      </c>
      <c r="M20" s="22">
        <f t="shared" ref="M20" si="7">L20/$L$21</f>
        <v>1.5907248303618349</v>
      </c>
      <c r="P20" s="64" t="s">
        <v>62</v>
      </c>
      <c r="Q20" s="64"/>
      <c r="R20" s="64"/>
      <c r="S20" s="64" t="s">
        <v>34</v>
      </c>
      <c r="T20" s="64"/>
      <c r="U20" s="23">
        <f>ROUNDUP((COUNTIF(D8:K9,"&gt;"&amp;U19)/4),0)</f>
        <v>4</v>
      </c>
      <c r="V20" s="23">
        <f>ROUNDUP((COUNTIF(D7:K7,"&gt;"&amp;V19)/2),0)</f>
        <v>4</v>
      </c>
    </row>
    <row r="21" spans="2:22" x14ac:dyDescent="0.2">
      <c r="B21" s="48" t="s">
        <v>12</v>
      </c>
      <c r="C21" s="52" t="s">
        <v>13</v>
      </c>
      <c r="D21" s="18">
        <f t="shared" si="0"/>
        <v>3917.4050525000002</v>
      </c>
      <c r="E21" s="18">
        <f t="shared" si="1"/>
        <v>6665.4822879999992</v>
      </c>
      <c r="F21" s="18">
        <f t="shared" si="2"/>
        <v>3020.028867</v>
      </c>
      <c r="G21" s="18">
        <f t="shared" si="3"/>
        <v>1569.1435135000002</v>
      </c>
      <c r="H21" s="18">
        <f t="shared" si="4"/>
        <v>182.57023699999999</v>
      </c>
      <c r="I21" s="18">
        <f t="shared" si="4"/>
        <v>154.61527799999999</v>
      </c>
      <c r="J21" s="18">
        <f t="shared" si="5"/>
        <v>3467.1644310260249</v>
      </c>
      <c r="K21" s="21">
        <v>0.1</v>
      </c>
      <c r="L21" s="18">
        <f>K21*J21</f>
        <v>346.71644310260251</v>
      </c>
      <c r="M21" s="22">
        <f>L21/$L$21</f>
        <v>1</v>
      </c>
      <c r="P21" s="64" t="s">
        <v>63</v>
      </c>
      <c r="Q21" s="64"/>
      <c r="R21" s="64"/>
      <c r="S21" s="64" t="s">
        <v>35</v>
      </c>
      <c r="T21" s="64"/>
      <c r="U21" s="24">
        <f>(COUNTIF(L9,"&lt;"&amp;U19)+COUNTIF(L8,"&lt;"&amp;U19))/2</f>
        <v>1</v>
      </c>
      <c r="V21" s="24">
        <f>(COUNTIF(L7,"&lt;"&amp;V19))</f>
        <v>1</v>
      </c>
    </row>
    <row r="22" spans="2:22" x14ac:dyDescent="0.2">
      <c r="B22" s="48" t="s">
        <v>14</v>
      </c>
      <c r="C22" s="53" t="s">
        <v>15</v>
      </c>
      <c r="D22" s="18">
        <f t="shared" si="0"/>
        <v>2620.265394</v>
      </c>
      <c r="E22" s="18">
        <f t="shared" si="1"/>
        <v>5770.885268</v>
      </c>
      <c r="F22" s="18">
        <f t="shared" si="2"/>
        <v>3039.5977250000001</v>
      </c>
      <c r="G22" s="18">
        <f t="shared" si="3"/>
        <v>1686.5556305</v>
      </c>
      <c r="H22" s="18">
        <f t="shared" si="4"/>
        <v>160.20626899999999</v>
      </c>
      <c r="I22" s="18">
        <f t="shared" si="4"/>
        <v>232.88917799999999</v>
      </c>
      <c r="J22" s="18">
        <f t="shared" si="5"/>
        <v>2953.4755051510251</v>
      </c>
      <c r="K22" s="25">
        <f>K21*2</f>
        <v>0.2</v>
      </c>
      <c r="L22" s="18">
        <f>K22*J22</f>
        <v>590.69510103020502</v>
      </c>
      <c r="M22" s="22">
        <f>L22/$L$21</f>
        <v>1.7036835511588437</v>
      </c>
      <c r="P22" s="26"/>
      <c r="S22" s="26"/>
      <c r="U22" s="27"/>
    </row>
    <row r="23" spans="2:22" ht="16" x14ac:dyDescent="0.2">
      <c r="B23" s="48" t="s">
        <v>16</v>
      </c>
      <c r="C23" s="54" t="s">
        <v>17</v>
      </c>
      <c r="D23" s="18">
        <f t="shared" si="0"/>
        <v>266.43514900000002</v>
      </c>
      <c r="E23" s="18">
        <f t="shared" si="1"/>
        <v>923.37883050000005</v>
      </c>
      <c r="F23" s="18">
        <f t="shared" si="2"/>
        <v>666.191956</v>
      </c>
      <c r="G23" s="18">
        <f t="shared" si="3"/>
        <v>291.59464149999997</v>
      </c>
      <c r="H23" s="18">
        <f t="shared" si="4"/>
        <v>193.75222199999999</v>
      </c>
      <c r="I23" s="18">
        <f t="shared" si="4"/>
        <v>221.70719</v>
      </c>
      <c r="J23" s="18">
        <f t="shared" si="5"/>
        <v>234.46744701301267</v>
      </c>
      <c r="K23" s="25">
        <f>K22</f>
        <v>0.2</v>
      </c>
      <c r="L23" s="18">
        <f>K23*J23</f>
        <v>46.89348940260254</v>
      </c>
      <c r="M23" s="22">
        <f>L23/$L$21</f>
        <v>0.13525026094226955</v>
      </c>
      <c r="P23" s="28" t="s">
        <v>36</v>
      </c>
      <c r="S23" s="26"/>
      <c r="U23" s="29"/>
    </row>
    <row r="24" spans="2:22" ht="16" x14ac:dyDescent="0.2">
      <c r="B24" s="48" t="s">
        <v>18</v>
      </c>
      <c r="C24" s="55" t="s">
        <v>19</v>
      </c>
      <c r="D24" s="18">
        <f t="shared" si="0"/>
        <v>587.91780100000005</v>
      </c>
      <c r="E24" s="18">
        <f t="shared" si="1"/>
        <v>3131.8514845</v>
      </c>
      <c r="F24" s="18">
        <f t="shared" si="2"/>
        <v>2022.0196145</v>
      </c>
      <c r="G24" s="18">
        <f t="shared" si="3"/>
        <v>828.33141550000005</v>
      </c>
      <c r="H24" s="18">
        <f t="shared" si="4"/>
        <v>176.97924499999999</v>
      </c>
      <c r="I24" s="18">
        <f t="shared" si="4"/>
        <v>238.48017300000001</v>
      </c>
      <c r="J24" s="18">
        <f t="shared" si="5"/>
        <v>1316.6795796510255</v>
      </c>
      <c r="K24" s="30">
        <f>K19</f>
        <v>4.4999999999999998E-2</v>
      </c>
      <c r="L24" s="18">
        <f>K24*J24</f>
        <v>59.250581084296144</v>
      </c>
      <c r="M24" s="22">
        <f>L24/$L$21</f>
        <v>0.17089060026715358</v>
      </c>
      <c r="P24" s="65" t="s">
        <v>37</v>
      </c>
      <c r="Q24" s="65"/>
      <c r="R24" s="65" t="s">
        <v>28</v>
      </c>
      <c r="S24" s="65"/>
      <c r="T24" s="65"/>
      <c r="U24" s="31" t="s">
        <v>29</v>
      </c>
      <c r="V24" s="31" t="s">
        <v>38</v>
      </c>
    </row>
    <row r="25" spans="2:22" x14ac:dyDescent="0.2">
      <c r="B25" s="48" t="s">
        <v>20</v>
      </c>
      <c r="C25" s="56" t="s">
        <v>21</v>
      </c>
      <c r="D25" s="18">
        <f t="shared" si="0"/>
        <v>694.14703950000001</v>
      </c>
      <c r="E25" s="18">
        <f t="shared" si="1"/>
        <v>3839.1290104999998</v>
      </c>
      <c r="F25" s="18">
        <f t="shared" si="2"/>
        <v>1281.2047440000001</v>
      </c>
      <c r="G25" s="18">
        <f t="shared" si="3"/>
        <v>529.21222250000005</v>
      </c>
      <c r="H25" s="18">
        <f t="shared" si="4"/>
        <v>188.16122999999999</v>
      </c>
      <c r="I25" s="18">
        <f t="shared" si="4"/>
        <v>165.79726099999999</v>
      </c>
      <c r="J25" s="18">
        <f t="shared" si="5"/>
        <v>1260.0727549010253</v>
      </c>
      <c r="K25" s="21">
        <f>K19*2</f>
        <v>0.09</v>
      </c>
      <c r="L25" s="18">
        <f>K25*J25</f>
        <v>113.40654794109227</v>
      </c>
      <c r="M25" s="22">
        <f>L25/$L$21</f>
        <v>0.32708730779039602</v>
      </c>
      <c r="P25" s="63" t="s">
        <v>53</v>
      </c>
      <c r="Q25" s="63"/>
      <c r="R25" s="32">
        <v>0.9</v>
      </c>
      <c r="S25" s="33" t="s">
        <v>39</v>
      </c>
      <c r="T25" s="34">
        <v>1.25</v>
      </c>
      <c r="U25" s="35">
        <f>D26</f>
        <v>0.78687174623836376</v>
      </c>
      <c r="V25" s="36" t="str">
        <f>IF(U25&gt;R25,"pass","fail")</f>
        <v>fail</v>
      </c>
    </row>
    <row r="26" spans="2:22" x14ac:dyDescent="0.2">
      <c r="B26" s="11"/>
      <c r="C26" s="37" t="s">
        <v>40</v>
      </c>
      <c r="D26" s="38">
        <f>LOG(D19)/LOG(D21)</f>
        <v>0.78687174623836376</v>
      </c>
      <c r="E26" s="38">
        <f>LOG(E19)/LOG(E21)</f>
        <v>0.89694774513203357</v>
      </c>
      <c r="F26" s="38">
        <f>LOG(F19)/LOG(F22)</f>
        <v>0.96410031276183372</v>
      </c>
      <c r="G26" s="38">
        <f>LOG(G19)/LOG(G22)</f>
        <v>0.83367280487042772</v>
      </c>
      <c r="H26" s="58"/>
      <c r="I26" s="58"/>
      <c r="J26" s="58"/>
      <c r="K26"/>
      <c r="L26" t="s">
        <v>41</v>
      </c>
      <c r="M26" s="11">
        <f>SUM(M23:M25,M19)</f>
        <v>0.78987767728250968</v>
      </c>
      <c r="P26" s="63" t="s">
        <v>59</v>
      </c>
      <c r="Q26" s="63"/>
      <c r="R26" s="32">
        <v>0.95</v>
      </c>
      <c r="S26" s="33" t="s">
        <v>39</v>
      </c>
      <c r="T26" s="34">
        <v>1.25</v>
      </c>
      <c r="U26" s="35">
        <f>E26</f>
        <v>0.89694774513203357</v>
      </c>
      <c r="V26" s="36" t="str">
        <f t="shared" ref="V26:V28" si="8">IF(U26&gt;R26,"pass","fail")</f>
        <v>fail</v>
      </c>
    </row>
    <row r="27" spans="2:22" x14ac:dyDescent="0.2">
      <c r="H27" s="2"/>
      <c r="I27" s="2"/>
      <c r="J27" s="2"/>
      <c r="K27"/>
      <c r="P27" s="63" t="s">
        <v>55</v>
      </c>
      <c r="Q27" s="63"/>
      <c r="R27" s="32">
        <v>0.95</v>
      </c>
      <c r="S27" s="33" t="s">
        <v>39</v>
      </c>
      <c r="T27" s="34">
        <v>1.5</v>
      </c>
      <c r="U27" s="35">
        <f>F26</f>
        <v>0.96410031276183372</v>
      </c>
      <c r="V27" s="36" t="str">
        <f t="shared" si="8"/>
        <v>pass</v>
      </c>
    </row>
    <row r="28" spans="2:22" x14ac:dyDescent="0.2">
      <c r="B28" s="1" t="s">
        <v>42</v>
      </c>
      <c r="D28" s="61" t="s">
        <v>58</v>
      </c>
      <c r="E28" s="61" t="s">
        <v>59</v>
      </c>
      <c r="F28" s="61" t="s">
        <v>60</v>
      </c>
      <c r="G28" s="61" t="s">
        <v>61</v>
      </c>
      <c r="K28" s="61" t="s">
        <v>58</v>
      </c>
      <c r="L28" s="61" t="s">
        <v>59</v>
      </c>
      <c r="M28" s="61" t="s">
        <v>60</v>
      </c>
      <c r="N28" s="61" t="s">
        <v>61</v>
      </c>
      <c r="P28" s="63" t="s">
        <v>56</v>
      </c>
      <c r="Q28" s="63"/>
      <c r="R28" s="32">
        <v>0.95</v>
      </c>
      <c r="S28" s="33" t="s">
        <v>39</v>
      </c>
      <c r="T28" s="34">
        <v>1.5</v>
      </c>
      <c r="U28" s="35">
        <f>G26</f>
        <v>0.83367280487042772</v>
      </c>
      <c r="V28" s="36" t="str">
        <f t="shared" si="8"/>
        <v>fail</v>
      </c>
    </row>
    <row r="29" spans="2:22" x14ac:dyDescent="0.2">
      <c r="B29" s="48" t="s">
        <v>7</v>
      </c>
      <c r="C29" s="49" t="s">
        <v>8</v>
      </c>
      <c r="D29" s="2">
        <f t="shared" ref="D29:D36" si="9">STDEV(D7:E7)</f>
        <v>260.93190223744119</v>
      </c>
      <c r="E29" s="2">
        <f t="shared" ref="E29:E36" si="10">STDEV(F7:G7)</f>
        <v>229.3081905223919</v>
      </c>
      <c r="F29" s="2">
        <f t="shared" ref="F29:F36" si="11">STDEV(H7:I7)</f>
        <v>1557.7908567806501</v>
      </c>
      <c r="G29" s="2">
        <f t="shared" ref="G29:G36" si="12">STDEV(J7:K7)</f>
        <v>561.4014397286179</v>
      </c>
      <c r="I29" s="48" t="s">
        <v>7</v>
      </c>
      <c r="J29" s="49" t="s">
        <v>8</v>
      </c>
      <c r="K29" s="39">
        <f>D29/D18</f>
        <v>8.4907136892380525E-2</v>
      </c>
      <c r="L29" s="39">
        <f>E29/E18</f>
        <v>4.0580692891799185E-2</v>
      </c>
      <c r="M29" s="39">
        <f>F29/F18</f>
        <v>0.12706638997699563</v>
      </c>
      <c r="N29" s="39">
        <f>G29/G18</f>
        <v>0.1529122811286642</v>
      </c>
      <c r="P29" s="26"/>
      <c r="U29" s="27"/>
    </row>
    <row r="30" spans="2:22" x14ac:dyDescent="0.2">
      <c r="B30" s="48" t="s">
        <v>9</v>
      </c>
      <c r="C30" s="50" t="s">
        <v>44</v>
      </c>
      <c r="D30" s="2">
        <f t="shared" si="9"/>
        <v>43.487873144703279</v>
      </c>
      <c r="E30" s="2">
        <f t="shared" si="10"/>
        <v>225.34963705568194</v>
      </c>
      <c r="F30" s="2">
        <f t="shared" si="11"/>
        <v>15.813961621519002</v>
      </c>
      <c r="G30" s="2">
        <f t="shared" si="12"/>
        <v>23.72062600199412</v>
      </c>
      <c r="I30" s="48" t="s">
        <v>9</v>
      </c>
      <c r="J30" s="50" t="s">
        <v>44</v>
      </c>
      <c r="K30" s="39">
        <f t="shared" ref="K30:N36" si="13">D30/D19</f>
        <v>6.4735004228587842E-2</v>
      </c>
      <c r="L30" s="39">
        <f t="shared" si="13"/>
        <v>8.3768309395931731E-2</v>
      </c>
      <c r="M30" s="39">
        <f t="shared" si="13"/>
        <v>6.9383559919350881E-3</v>
      </c>
      <c r="N30" s="39">
        <f t="shared" si="13"/>
        <v>4.8402015407944657E-2</v>
      </c>
    </row>
    <row r="31" spans="2:22" x14ac:dyDescent="0.2">
      <c r="B31" s="48" t="s">
        <v>11</v>
      </c>
      <c r="C31" s="51" t="s">
        <v>10</v>
      </c>
      <c r="D31" s="2">
        <f t="shared" si="9"/>
        <v>525.83027824464853</v>
      </c>
      <c r="E31" s="2">
        <f t="shared" si="10"/>
        <v>79.073089083060111</v>
      </c>
      <c r="F31" s="2">
        <f t="shared" si="11"/>
        <v>921.3224668936233</v>
      </c>
      <c r="G31" s="2">
        <f t="shared" si="12"/>
        <v>67.213482835290918</v>
      </c>
      <c r="I31" s="48" t="s">
        <v>11</v>
      </c>
      <c r="J31" s="51" t="s">
        <v>10</v>
      </c>
      <c r="K31" s="39">
        <f t="shared" si="13"/>
        <v>8.2342133985710872E-2</v>
      </c>
      <c r="L31" s="39">
        <f t="shared" si="13"/>
        <v>1.0061185271943884E-2</v>
      </c>
      <c r="M31" s="39">
        <f t="shared" si="13"/>
        <v>3.6117038557388195E-2</v>
      </c>
      <c r="N31" s="39">
        <f t="shared" si="13"/>
        <v>6.3565873959561606E-3</v>
      </c>
    </row>
    <row r="32" spans="2:22" x14ac:dyDescent="0.2">
      <c r="B32" s="48" t="s">
        <v>12</v>
      </c>
      <c r="C32" s="52" t="s">
        <v>13</v>
      </c>
      <c r="D32" s="2">
        <f t="shared" si="9"/>
        <v>7.9070766237284715</v>
      </c>
      <c r="E32" s="2">
        <f t="shared" si="10"/>
        <v>83.02600620161725</v>
      </c>
      <c r="F32" s="2">
        <f t="shared" si="11"/>
        <v>138.37292415130591</v>
      </c>
      <c r="G32" s="2">
        <f t="shared" si="12"/>
        <v>71.162449348261632</v>
      </c>
      <c r="I32" s="48" t="s">
        <v>12</v>
      </c>
      <c r="J32" s="52" t="s">
        <v>13</v>
      </c>
      <c r="K32" s="39">
        <f t="shared" si="13"/>
        <v>2.0184475482519612E-3</v>
      </c>
      <c r="L32" s="39">
        <f t="shared" si="13"/>
        <v>1.2456113843568473E-2</v>
      </c>
      <c r="M32" s="39">
        <f t="shared" si="13"/>
        <v>4.5818411096434697E-2</v>
      </c>
      <c r="N32" s="39">
        <f t="shared" si="13"/>
        <v>4.5351141394028793E-2</v>
      </c>
    </row>
    <row r="33" spans="1:14" x14ac:dyDescent="0.2">
      <c r="B33" s="48" t="s">
        <v>14</v>
      </c>
      <c r="C33" s="53" t="s">
        <v>15</v>
      </c>
      <c r="D33" s="2">
        <f t="shared" si="9"/>
        <v>442.79203838860855</v>
      </c>
      <c r="E33" s="2">
        <f t="shared" si="10"/>
        <v>1023.9805928391744</v>
      </c>
      <c r="F33" s="2">
        <f t="shared" si="11"/>
        <v>55.349177862961106</v>
      </c>
      <c r="G33" s="2">
        <f t="shared" si="12"/>
        <v>110.69724061852796</v>
      </c>
      <c r="I33" s="48" t="s">
        <v>14</v>
      </c>
      <c r="J33" s="53" t="s">
        <v>15</v>
      </c>
      <c r="K33" s="39">
        <f t="shared" si="13"/>
        <v>0.16898747714736584</v>
      </c>
      <c r="L33" s="39">
        <f t="shared" si="13"/>
        <v>0.17743908348294932</v>
      </c>
      <c r="M33" s="39">
        <f t="shared" si="13"/>
        <v>1.8209375999898508E-2</v>
      </c>
      <c r="N33" s="39">
        <f t="shared" si="13"/>
        <v>6.5635095941490182E-2</v>
      </c>
    </row>
    <row r="34" spans="1:14" x14ac:dyDescent="0.2">
      <c r="B34" s="48" t="s">
        <v>16</v>
      </c>
      <c r="C34" s="54" t="s">
        <v>17</v>
      </c>
      <c r="D34" s="2">
        <f t="shared" si="9"/>
        <v>7.9068623703737106</v>
      </c>
      <c r="E34" s="2">
        <f t="shared" si="10"/>
        <v>177.90526953921517</v>
      </c>
      <c r="F34" s="2">
        <f t="shared" si="11"/>
        <v>59.301643140284661</v>
      </c>
      <c r="G34" s="2">
        <f t="shared" si="12"/>
        <v>67.208340754778675</v>
      </c>
      <c r="I34" s="48" t="s">
        <v>16</v>
      </c>
      <c r="J34" s="54" t="s">
        <v>17</v>
      </c>
      <c r="K34" s="39">
        <f t="shared" si="13"/>
        <v>2.9676498765460222E-2</v>
      </c>
      <c r="L34" s="39">
        <f t="shared" si="13"/>
        <v>0.19266769354337623</v>
      </c>
      <c r="M34" s="39">
        <f t="shared" si="13"/>
        <v>8.9015849870580935E-2</v>
      </c>
      <c r="N34" s="39">
        <f t="shared" si="13"/>
        <v>0.23048551375653001</v>
      </c>
    </row>
    <row r="35" spans="1:14" x14ac:dyDescent="0.2">
      <c r="B35" s="48" t="s">
        <v>18</v>
      </c>
      <c r="C35" s="55" t="s">
        <v>19</v>
      </c>
      <c r="D35" s="2">
        <f t="shared" si="9"/>
        <v>43.487846274645584</v>
      </c>
      <c r="E35" s="2">
        <f t="shared" si="10"/>
        <v>462.56130078564593</v>
      </c>
      <c r="F35" s="2">
        <f t="shared" si="11"/>
        <v>395.34827403422759</v>
      </c>
      <c r="G35" s="2">
        <f t="shared" si="12"/>
        <v>51.394819660783945</v>
      </c>
      <c r="I35" s="48" t="s">
        <v>18</v>
      </c>
      <c r="J35" s="55" t="s">
        <v>19</v>
      </c>
      <c r="K35" s="39">
        <f t="shared" si="13"/>
        <v>7.3969262711005374E-2</v>
      </c>
      <c r="L35" s="39">
        <f t="shared" si="13"/>
        <v>0.14769579690318355</v>
      </c>
      <c r="M35" s="39">
        <f t="shared" si="13"/>
        <v>0.19552148317413248</v>
      </c>
      <c r="N35" s="39">
        <f t="shared" si="13"/>
        <v>6.2046203607720035E-2</v>
      </c>
    </row>
    <row r="36" spans="1:14" x14ac:dyDescent="0.2">
      <c r="B36" s="48" t="s">
        <v>20</v>
      </c>
      <c r="C36" s="56" t="s">
        <v>21</v>
      </c>
      <c r="D36" s="2">
        <f t="shared" si="9"/>
        <v>114.64986711619754</v>
      </c>
      <c r="E36" s="2">
        <f t="shared" si="10"/>
        <v>47.44243499363315</v>
      </c>
      <c r="F36" s="2">
        <f t="shared" si="11"/>
        <v>75.115758203975361</v>
      </c>
      <c r="G36" s="2">
        <f t="shared" si="12"/>
        <v>71.161899219185855</v>
      </c>
      <c r="I36" s="48" t="s">
        <v>20</v>
      </c>
      <c r="J36" s="56" t="s">
        <v>21</v>
      </c>
      <c r="K36" s="39">
        <f t="shared" si="13"/>
        <v>0.16516654338651479</v>
      </c>
      <c r="L36" s="39">
        <f t="shared" si="13"/>
        <v>1.2357603733523492E-2</v>
      </c>
      <c r="M36" s="39">
        <f t="shared" si="13"/>
        <v>5.8629004111754486E-2</v>
      </c>
      <c r="N36" s="39">
        <f t="shared" si="13"/>
        <v>0.13446760334260013</v>
      </c>
    </row>
    <row r="37" spans="1:14" x14ac:dyDescent="0.2">
      <c r="K37"/>
    </row>
    <row r="38" spans="1:14" x14ac:dyDescent="0.2">
      <c r="D38" s="1" t="s">
        <v>43</v>
      </c>
      <c r="K38"/>
    </row>
    <row r="39" spans="1:14" x14ac:dyDescent="0.2">
      <c r="D39" s="61" t="s">
        <v>58</v>
      </c>
      <c r="E39" s="61" t="s">
        <v>59</v>
      </c>
      <c r="F39" s="61" t="s">
        <v>60</v>
      </c>
      <c r="G39" s="61" t="s">
        <v>61</v>
      </c>
      <c r="K39"/>
    </row>
    <row r="40" spans="1:14" x14ac:dyDescent="0.2">
      <c r="C40" s="40" t="s">
        <v>13</v>
      </c>
      <c r="D40" s="22">
        <f t="shared" ref="D40:G44" si="14">(D21*$K21)/(D$21*$K$21)</f>
        <v>1</v>
      </c>
      <c r="E40" s="22">
        <f t="shared" si="14"/>
        <v>1</v>
      </c>
      <c r="F40" s="22">
        <f t="shared" si="14"/>
        <v>1</v>
      </c>
      <c r="G40" s="22">
        <f t="shared" si="14"/>
        <v>1</v>
      </c>
      <c r="K40"/>
    </row>
    <row r="41" spans="1:14" ht="16" thickBot="1" x14ac:dyDescent="0.25">
      <c r="C41" s="41" t="s">
        <v>15</v>
      </c>
      <c r="D41" s="42">
        <f t="shared" si="14"/>
        <v>1.3377556616606725</v>
      </c>
      <c r="E41" s="42">
        <f t="shared" si="14"/>
        <v>1.7315732061547715</v>
      </c>
      <c r="F41" s="42">
        <f t="shared" si="14"/>
        <v>2.0129593847355767</v>
      </c>
      <c r="G41" s="42">
        <f t="shared" si="14"/>
        <v>2.1496512154431433</v>
      </c>
      <c r="K41"/>
    </row>
    <row r="42" spans="1:14" x14ac:dyDescent="0.2">
      <c r="C42" s="43" t="s">
        <v>17</v>
      </c>
      <c r="D42" s="44">
        <f t="shared" si="14"/>
        <v>0.13602634674194186</v>
      </c>
      <c r="E42" s="44">
        <f t="shared" si="14"/>
        <v>0.27706287125310569</v>
      </c>
      <c r="F42" s="44">
        <f t="shared" si="14"/>
        <v>0.44118250873659604</v>
      </c>
      <c r="G42" s="44">
        <f t="shared" si="14"/>
        <v>0.3716608952479985</v>
      </c>
      <c r="K42"/>
    </row>
    <row r="43" spans="1:14" x14ac:dyDescent="0.2">
      <c r="C43" s="45" t="s">
        <v>19</v>
      </c>
      <c r="D43" s="22">
        <f t="shared" si="14"/>
        <v>6.7535270645848008E-2</v>
      </c>
      <c r="E43" s="22">
        <f t="shared" si="14"/>
        <v>0.21143753852024341</v>
      </c>
      <c r="F43" s="22">
        <f t="shared" si="14"/>
        <v>0.3012914334917845</v>
      </c>
      <c r="G43" s="22">
        <f t="shared" si="14"/>
        <v>0.23754942347088251</v>
      </c>
    </row>
    <row r="44" spans="1:14" x14ac:dyDescent="0.2">
      <c r="A44" s="12"/>
      <c r="C44" s="46" t="s">
        <v>21</v>
      </c>
      <c r="D44" s="22">
        <f t="shared" si="14"/>
        <v>0.15947606315341573</v>
      </c>
      <c r="E44" s="22">
        <f t="shared" si="14"/>
        <v>0.51837450917400141</v>
      </c>
      <c r="F44" s="22">
        <f t="shared" si="14"/>
        <v>0.38181233371634521</v>
      </c>
      <c r="G44" s="22">
        <f t="shared" si="14"/>
        <v>0.30353565250868936</v>
      </c>
      <c r="K44"/>
    </row>
    <row r="45" spans="1:14" x14ac:dyDescent="0.2">
      <c r="C45" s="47" t="s">
        <v>10</v>
      </c>
      <c r="D45" s="22">
        <f>(D19*$K19)/(D$21*$K$21)</f>
        <v>7.7169026600166696E-2</v>
      </c>
      <c r="E45" s="22">
        <f>(E19*$K19)/(E$21*$K$21)</f>
        <v>0.18161764808893302</v>
      </c>
      <c r="F45" s="22">
        <f>(F19*$K19)/(F$21*$K$21)</f>
        <v>0.33961395019506613</v>
      </c>
      <c r="G45" s="22">
        <f>(G19*$K19)/(G$21*$K$21)</f>
        <v>0.14054407724829177</v>
      </c>
      <c r="K45"/>
    </row>
    <row r="46" spans="1:14" x14ac:dyDescent="0.2">
      <c r="D46" s="11">
        <f>SUM(D42:D45)</f>
        <v>0.44020670714137233</v>
      </c>
      <c r="E46" s="11">
        <f t="shared" ref="E46:G46" si="15">SUM(E42:E45)</f>
        <v>1.1884925670362836</v>
      </c>
      <c r="F46" s="11">
        <f t="shared" si="15"/>
        <v>1.463900226139792</v>
      </c>
      <c r="G46" s="11">
        <f t="shared" si="15"/>
        <v>1.0532900484758621</v>
      </c>
      <c r="K46"/>
    </row>
    <row r="47" spans="1:14" x14ac:dyDescent="0.2">
      <c r="K47"/>
    </row>
    <row r="48" spans="1:14" x14ac:dyDescent="0.2">
      <c r="K48"/>
    </row>
    <row r="49" spans="1:11" x14ac:dyDescent="0.2">
      <c r="K49"/>
    </row>
    <row r="50" spans="1:11" x14ac:dyDescent="0.2">
      <c r="K50"/>
    </row>
    <row r="51" spans="1:11" x14ac:dyDescent="0.2">
      <c r="K51"/>
    </row>
    <row r="52" spans="1:11" x14ac:dyDescent="0.2">
      <c r="K52"/>
    </row>
    <row r="53" spans="1:11" x14ac:dyDescent="0.2">
      <c r="K53"/>
    </row>
    <row r="54" spans="1:11" x14ac:dyDescent="0.2">
      <c r="K54"/>
    </row>
    <row r="55" spans="1:11" x14ac:dyDescent="0.2">
      <c r="A55" s="12"/>
      <c r="K55"/>
    </row>
  </sheetData>
  <mergeCells count="21">
    <mergeCell ref="P27:Q27"/>
    <mergeCell ref="P28:Q28"/>
    <mergeCell ref="P21:R21"/>
    <mergeCell ref="S21:T21"/>
    <mergeCell ref="P24:Q24"/>
    <mergeCell ref="R24:T24"/>
    <mergeCell ref="P25:Q25"/>
    <mergeCell ref="P26:Q26"/>
    <mergeCell ref="P20:R20"/>
    <mergeCell ref="S20:T20"/>
    <mergeCell ref="D5:E5"/>
    <mergeCell ref="F5:G5"/>
    <mergeCell ref="H5:I5"/>
    <mergeCell ref="J5:K5"/>
    <mergeCell ref="L16:L17"/>
    <mergeCell ref="P17:R17"/>
    <mergeCell ref="S17:T17"/>
    <mergeCell ref="P18:R18"/>
    <mergeCell ref="S18:T18"/>
    <mergeCell ref="P19:R19"/>
    <mergeCell ref="S19:T19"/>
  </mergeCells>
  <conditionalFormatting sqref="D7:O14">
    <cfRule type="cellIs" dxfId="7" priority="4" operator="lessThanOrEqual">
      <formula>$U$19</formula>
    </cfRule>
  </conditionalFormatting>
  <conditionalFormatting sqref="U20:V20">
    <cfRule type="cellIs" dxfId="6" priority="3" operator="lessThan">
      <formula>4</formula>
    </cfRule>
  </conditionalFormatting>
  <conditionalFormatting sqref="U21:V21">
    <cfRule type="cellIs" dxfId="5" priority="2" operator="lessThan">
      <formula>1</formula>
    </cfRule>
  </conditionalFormatting>
  <conditionalFormatting sqref="V25:V28">
    <cfRule type="cellIs" dxfId="4" priority="1" operator="equal">
      <formula>"fail"</formula>
    </cfRule>
  </conditionalFormatting>
  <pageMargins left="0.7" right="0.7" top="0.75" bottom="0.75" header="0.3" footer="0.3"/>
  <pageSetup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55"/>
  <sheetViews>
    <sheetView topLeftCell="A7" zoomScale="85" zoomScaleNormal="85" workbookViewId="0">
      <selection activeCell="P20" sqref="P20:R21"/>
    </sheetView>
  </sheetViews>
  <sheetFormatPr baseColWidth="10" defaultColWidth="8.83203125" defaultRowHeight="15" x14ac:dyDescent="0.2"/>
  <cols>
    <col min="1" max="1" width="7.33203125" customWidth="1"/>
    <col min="2" max="2" width="8.6640625" bestFit="1" customWidth="1"/>
    <col min="3" max="3" width="12.1640625" bestFit="1" customWidth="1"/>
    <col min="4" max="5" width="9.6640625" bestFit="1" customWidth="1"/>
    <col min="6" max="6" width="11.6640625" bestFit="1" customWidth="1"/>
    <col min="7" max="7" width="11.5" bestFit="1" customWidth="1"/>
    <col min="8" max="9" width="9.6640625" bestFit="1" customWidth="1"/>
    <col min="10" max="10" width="9.5" bestFit="1" customWidth="1"/>
    <col min="11" max="11" width="10" style="12" bestFit="1" customWidth="1"/>
    <col min="12" max="13" width="9.6640625" bestFit="1" customWidth="1"/>
    <col min="14" max="14" width="8.33203125" bestFit="1" customWidth="1"/>
    <col min="15" max="15" width="10.6640625" customWidth="1"/>
    <col min="16" max="16" width="12" bestFit="1" customWidth="1"/>
  </cols>
  <sheetData>
    <row r="1" spans="1:30" x14ac:dyDescent="0.2">
      <c r="D1" s="1"/>
      <c r="F1" s="1"/>
      <c r="G1" s="1"/>
      <c r="H1" s="1"/>
      <c r="I1" s="1"/>
      <c r="K1"/>
      <c r="L1" t="s">
        <v>0</v>
      </c>
      <c r="M1" s="2">
        <f>MAX(M7:M14)</f>
        <v>199.34321499999999</v>
      </c>
    </row>
    <row r="2" spans="1:30" x14ac:dyDescent="0.2">
      <c r="K2"/>
      <c r="L2" t="s">
        <v>1</v>
      </c>
      <c r="M2" s="2">
        <f>AVERAGE(M7:M14)</f>
        <v>175.581498125</v>
      </c>
    </row>
    <row r="3" spans="1:30" x14ac:dyDescent="0.2">
      <c r="B3" s="1" t="s">
        <v>2</v>
      </c>
      <c r="C3" s="1" t="s">
        <v>3</v>
      </c>
      <c r="D3" s="58"/>
      <c r="E3" s="3"/>
      <c r="F3" s="4"/>
      <c r="G3" s="5"/>
      <c r="K3"/>
      <c r="L3" t="s">
        <v>4</v>
      </c>
      <c r="M3" s="2">
        <f>STDEV(M7:M14)</f>
        <v>20.651021017421154</v>
      </c>
    </row>
    <row r="4" spans="1:30" x14ac:dyDescent="0.2">
      <c r="B4" s="59" t="s">
        <v>50</v>
      </c>
      <c r="C4" s="60" t="s">
        <v>48</v>
      </c>
      <c r="D4" s="9" t="s">
        <v>47</v>
      </c>
      <c r="E4" s="9" t="s">
        <v>52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30" x14ac:dyDescent="0.2">
      <c r="D5" s="66" t="s">
        <v>53</v>
      </c>
      <c r="E5" s="66"/>
      <c r="F5" s="66" t="s">
        <v>54</v>
      </c>
      <c r="G5" s="66"/>
      <c r="H5" s="66" t="s">
        <v>55</v>
      </c>
      <c r="I5" s="66"/>
      <c r="J5" s="67" t="s">
        <v>56</v>
      </c>
      <c r="K5" s="67"/>
      <c r="L5" s="61" t="s">
        <v>57</v>
      </c>
      <c r="M5" s="61" t="s">
        <v>5</v>
      </c>
      <c r="N5" s="61" t="s">
        <v>6</v>
      </c>
      <c r="O5" s="61" t="s">
        <v>6</v>
      </c>
      <c r="Q5" t="s">
        <v>45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>
        <v>9</v>
      </c>
      <c r="AB5">
        <v>10</v>
      </c>
      <c r="AC5">
        <v>11</v>
      </c>
      <c r="AD5">
        <v>12</v>
      </c>
    </row>
    <row r="6" spans="1:30" x14ac:dyDescent="0.2">
      <c r="C6" s="8"/>
      <c r="D6" s="9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S6">
        <v>5477.3443319999997</v>
      </c>
      <c r="T6">
        <v>4353.5152859999998</v>
      </c>
      <c r="U6">
        <v>7137.9447520000003</v>
      </c>
      <c r="V6">
        <v>7853.6307210000004</v>
      </c>
      <c r="W6">
        <v>19567.938830999999</v>
      </c>
      <c r="X6">
        <v>12175.784020999999</v>
      </c>
      <c r="Y6">
        <v>3458.9317169999999</v>
      </c>
      <c r="Z6">
        <v>2491.669934</v>
      </c>
      <c r="AA6">
        <v>204.93420900000001</v>
      </c>
      <c r="AB6">
        <v>143.43329600000001</v>
      </c>
      <c r="AC6" t="s">
        <v>46</v>
      </c>
      <c r="AD6" t="s">
        <v>46</v>
      </c>
    </row>
    <row r="7" spans="1:30" x14ac:dyDescent="0.2">
      <c r="A7" t="s">
        <v>7</v>
      </c>
      <c r="B7" s="48" t="s">
        <v>7</v>
      </c>
      <c r="C7" s="49" t="s">
        <v>8</v>
      </c>
      <c r="D7" s="10">
        <v>5477.3443319999997</v>
      </c>
      <c r="E7" s="10">
        <v>4353.5152859999998</v>
      </c>
      <c r="F7" s="10">
        <v>7137.9447520000003</v>
      </c>
      <c r="G7" s="10">
        <v>7853.6307210000004</v>
      </c>
      <c r="H7" s="10">
        <v>19567.938830999999</v>
      </c>
      <c r="I7" s="10">
        <v>12175.784020999999</v>
      </c>
      <c r="J7" s="10">
        <v>3458.9317169999999</v>
      </c>
      <c r="K7" s="10">
        <v>2491.669934</v>
      </c>
      <c r="L7" s="10">
        <v>204.93420900000001</v>
      </c>
      <c r="M7" s="10">
        <v>143.43329600000001</v>
      </c>
      <c r="N7" s="10">
        <v>0</v>
      </c>
      <c r="O7" s="10">
        <v>0</v>
      </c>
      <c r="S7">
        <v>842.30895899999996</v>
      </c>
      <c r="T7">
        <v>819.94488200000001</v>
      </c>
      <c r="U7">
        <v>5622.71594</v>
      </c>
      <c r="V7">
        <v>6260.1163850000003</v>
      </c>
      <c r="W7">
        <v>5024.45687</v>
      </c>
      <c r="X7">
        <v>4510.0680220000004</v>
      </c>
      <c r="Y7">
        <v>831.12692000000004</v>
      </c>
      <c r="Z7">
        <v>1233.680918</v>
      </c>
      <c r="AA7">
        <v>244.071168</v>
      </c>
      <c r="AB7">
        <v>199.34321499999999</v>
      </c>
      <c r="AC7" t="s">
        <v>46</v>
      </c>
      <c r="AD7" t="s">
        <v>46</v>
      </c>
    </row>
    <row r="8" spans="1:30" x14ac:dyDescent="0.2">
      <c r="A8" t="s">
        <v>9</v>
      </c>
      <c r="B8" s="48" t="s">
        <v>9</v>
      </c>
      <c r="C8" s="50" t="s">
        <v>44</v>
      </c>
      <c r="D8" s="10">
        <v>842.30895899999996</v>
      </c>
      <c r="E8" s="10">
        <v>819.94488200000001</v>
      </c>
      <c r="F8" s="10">
        <v>5622.71594</v>
      </c>
      <c r="G8" s="10">
        <v>6260.1163850000003</v>
      </c>
      <c r="H8" s="10">
        <v>5024.45687</v>
      </c>
      <c r="I8" s="10">
        <v>4510.0680220000004</v>
      </c>
      <c r="J8" s="10">
        <v>831.12692000000004</v>
      </c>
      <c r="K8" s="10">
        <v>1233.680918</v>
      </c>
      <c r="L8" s="10">
        <v>244.071168</v>
      </c>
      <c r="M8" s="10">
        <v>199.34321499999999</v>
      </c>
      <c r="N8" s="10">
        <v>0</v>
      </c>
      <c r="O8" s="10">
        <v>0</v>
      </c>
      <c r="S8">
        <v>8116.4226189999999</v>
      </c>
      <c r="T8">
        <v>8122.0139419999996</v>
      </c>
      <c r="U8">
        <v>9346.5191880000002</v>
      </c>
      <c r="V8">
        <v>8809.7483919999995</v>
      </c>
      <c r="W8">
        <v>27111.487173000001</v>
      </c>
      <c r="X8">
        <v>25937.148636999998</v>
      </c>
      <c r="Y8">
        <v>10034.259903</v>
      </c>
      <c r="Z8">
        <v>9603.7226210000008</v>
      </c>
      <c r="AA8">
        <v>216.116196</v>
      </c>
      <c r="AB8">
        <v>171.38825299999999</v>
      </c>
      <c r="AC8" t="s">
        <v>46</v>
      </c>
      <c r="AD8" t="s">
        <v>46</v>
      </c>
    </row>
    <row r="9" spans="1:30" x14ac:dyDescent="0.2">
      <c r="A9" t="s">
        <v>11</v>
      </c>
      <c r="B9" s="48" t="s">
        <v>11</v>
      </c>
      <c r="C9" s="51" t="s">
        <v>10</v>
      </c>
      <c r="D9" s="10">
        <v>8116.4226189999999</v>
      </c>
      <c r="E9" s="10">
        <v>8122.0139419999996</v>
      </c>
      <c r="F9" s="10">
        <v>9346.5191880000002</v>
      </c>
      <c r="G9" s="10">
        <v>8809.7483919999995</v>
      </c>
      <c r="H9" s="10">
        <v>27111.487173000001</v>
      </c>
      <c r="I9" s="10">
        <v>25937.148636999998</v>
      </c>
      <c r="J9" s="10">
        <v>10034.259903</v>
      </c>
      <c r="K9" s="10">
        <v>9603.7226210000008</v>
      </c>
      <c r="L9" s="10">
        <v>216.116196</v>
      </c>
      <c r="M9" s="10">
        <v>171.38825299999999</v>
      </c>
      <c r="N9" s="10">
        <v>0</v>
      </c>
      <c r="O9" s="10">
        <v>0</v>
      </c>
      <c r="S9">
        <v>8177.9271799999997</v>
      </c>
      <c r="T9">
        <v>6209.7951869999997</v>
      </c>
      <c r="U9">
        <v>8306.5277170000008</v>
      </c>
      <c r="V9">
        <v>7859.222033</v>
      </c>
      <c r="W9">
        <v>3766.4441470000002</v>
      </c>
      <c r="X9">
        <v>3011.6421660000001</v>
      </c>
      <c r="Y9">
        <v>2284.7998200000002</v>
      </c>
      <c r="Z9">
        <v>2139.431822</v>
      </c>
      <c r="AA9">
        <v>210.52520200000001</v>
      </c>
      <c r="AB9">
        <v>182.57023699999999</v>
      </c>
      <c r="AC9" t="s">
        <v>46</v>
      </c>
      <c r="AD9" t="s">
        <v>46</v>
      </c>
    </row>
    <row r="10" spans="1:30" x14ac:dyDescent="0.2">
      <c r="A10" t="s">
        <v>12</v>
      </c>
      <c r="B10" s="48" t="s">
        <v>12</v>
      </c>
      <c r="C10" s="52" t="s">
        <v>13</v>
      </c>
      <c r="D10" s="10">
        <v>8177.9271799999997</v>
      </c>
      <c r="E10" s="10">
        <v>6209.7951869999997</v>
      </c>
      <c r="F10" s="10">
        <v>8306.5277170000008</v>
      </c>
      <c r="G10" s="10">
        <v>7859.222033</v>
      </c>
      <c r="H10" s="10">
        <v>3766.4441470000002</v>
      </c>
      <c r="I10" s="10">
        <v>3011.6421660000001</v>
      </c>
      <c r="J10" s="10">
        <v>2284.7998200000002</v>
      </c>
      <c r="K10" s="10">
        <v>2139.431822</v>
      </c>
      <c r="L10" s="10">
        <v>210.52520200000001</v>
      </c>
      <c r="M10" s="10">
        <v>182.57023699999999</v>
      </c>
      <c r="N10" s="10">
        <v>0</v>
      </c>
      <c r="O10" s="10">
        <v>0</v>
      </c>
      <c r="S10">
        <v>3911.813905</v>
      </c>
      <c r="T10">
        <v>2793.5890490000002</v>
      </c>
      <c r="U10">
        <v>6796.8769979999997</v>
      </c>
      <c r="V10">
        <v>6998.162781</v>
      </c>
      <c r="W10">
        <v>3319.1535730000001</v>
      </c>
      <c r="X10">
        <v>3749.6707240000001</v>
      </c>
      <c r="Y10">
        <v>1943.7443820000001</v>
      </c>
      <c r="Z10">
        <v>1871.0605479999999</v>
      </c>
      <c r="AA10">
        <v>160.20626899999999</v>
      </c>
      <c r="AB10">
        <v>199.34321499999999</v>
      </c>
      <c r="AC10" t="s">
        <v>46</v>
      </c>
      <c r="AD10" t="s">
        <v>46</v>
      </c>
    </row>
    <row r="11" spans="1:30" x14ac:dyDescent="0.2">
      <c r="A11" t="s">
        <v>14</v>
      </c>
      <c r="B11" s="48" t="s">
        <v>14</v>
      </c>
      <c r="C11" s="53" t="s">
        <v>15</v>
      </c>
      <c r="D11" s="10">
        <v>3911.813905</v>
      </c>
      <c r="E11" s="10">
        <v>2793.5890490000002</v>
      </c>
      <c r="F11" s="10">
        <v>6796.8769979999997</v>
      </c>
      <c r="G11" s="10">
        <v>6998.162781</v>
      </c>
      <c r="H11" s="10">
        <v>3319.1535730000001</v>
      </c>
      <c r="I11" s="10">
        <v>3749.6707240000001</v>
      </c>
      <c r="J11" s="10">
        <v>1943.7443820000001</v>
      </c>
      <c r="K11" s="10">
        <v>1871.0605479999999</v>
      </c>
      <c r="L11" s="10">
        <v>160.20626899999999</v>
      </c>
      <c r="M11" s="10">
        <v>199.34321499999999</v>
      </c>
      <c r="N11" s="10">
        <v>0</v>
      </c>
      <c r="O11" s="10">
        <v>0</v>
      </c>
      <c r="S11">
        <v>557.16724999999997</v>
      </c>
      <c r="T11">
        <v>350.30011400000001</v>
      </c>
      <c r="U11">
        <v>1496.459873</v>
      </c>
      <c r="V11">
        <v>1160.997468</v>
      </c>
      <c r="W11">
        <v>954.12940300000002</v>
      </c>
      <c r="X11">
        <v>708.12455</v>
      </c>
      <c r="Y11">
        <v>361.48211300000003</v>
      </c>
      <c r="Z11">
        <v>182.57023699999999</v>
      </c>
      <c r="AA11">
        <v>216.116196</v>
      </c>
      <c r="AB11">
        <v>182.57023699999999</v>
      </c>
      <c r="AC11" t="s">
        <v>46</v>
      </c>
      <c r="AD11" t="s">
        <v>46</v>
      </c>
    </row>
    <row r="12" spans="1:30" x14ac:dyDescent="0.2">
      <c r="A12" t="s">
        <v>16</v>
      </c>
      <c r="B12" s="48" t="s">
        <v>16</v>
      </c>
      <c r="C12" s="54" t="s">
        <v>17</v>
      </c>
      <c r="D12" s="10">
        <v>557.16724999999997</v>
      </c>
      <c r="E12" s="10">
        <v>350.30011400000001</v>
      </c>
      <c r="F12" s="10">
        <v>1496.459873</v>
      </c>
      <c r="G12" s="10">
        <v>1160.997468</v>
      </c>
      <c r="H12" s="10">
        <v>954.12940300000002</v>
      </c>
      <c r="I12" s="10">
        <v>708.12455</v>
      </c>
      <c r="J12" s="10">
        <v>361.48211300000003</v>
      </c>
      <c r="K12" s="10">
        <v>182.57023699999999</v>
      </c>
      <c r="L12" s="10">
        <v>216.116196</v>
      </c>
      <c r="M12" s="10">
        <v>182.57023699999999</v>
      </c>
      <c r="N12" s="10">
        <v>0</v>
      </c>
      <c r="O12" s="10">
        <v>0</v>
      </c>
      <c r="S12">
        <v>663.39644299999998</v>
      </c>
      <c r="T12">
        <v>596.30431099999998</v>
      </c>
      <c r="U12">
        <v>3805.5821430000001</v>
      </c>
      <c r="V12">
        <v>3134.6466439999999</v>
      </c>
      <c r="W12">
        <v>2771.224647</v>
      </c>
      <c r="X12">
        <v>1910.1979920000001</v>
      </c>
      <c r="Y12">
        <v>791.98978999999997</v>
      </c>
      <c r="Z12">
        <v>680.16948200000002</v>
      </c>
      <c r="AA12">
        <v>199.34321499999999</v>
      </c>
      <c r="AB12">
        <v>176.97924499999999</v>
      </c>
      <c r="AC12" t="s">
        <v>46</v>
      </c>
      <c r="AD12" t="s">
        <v>46</v>
      </c>
    </row>
    <row r="13" spans="1:30" x14ac:dyDescent="0.2">
      <c r="A13" t="s">
        <v>18</v>
      </c>
      <c r="B13" s="48" t="s">
        <v>18</v>
      </c>
      <c r="C13" s="55" t="s">
        <v>19</v>
      </c>
      <c r="D13" s="10">
        <v>663.39644299999998</v>
      </c>
      <c r="E13" s="10">
        <v>596.30431099999998</v>
      </c>
      <c r="F13" s="10">
        <v>3805.5821430000001</v>
      </c>
      <c r="G13" s="10">
        <v>3134.6466439999999</v>
      </c>
      <c r="H13" s="10">
        <v>2771.224647</v>
      </c>
      <c r="I13" s="10">
        <v>1910.1979920000001</v>
      </c>
      <c r="J13" s="10">
        <v>791.98978999999997</v>
      </c>
      <c r="K13" s="10">
        <v>680.16948200000002</v>
      </c>
      <c r="L13" s="10">
        <v>199.34321499999999</v>
      </c>
      <c r="M13" s="10">
        <v>176.97924499999999</v>
      </c>
      <c r="N13" s="10">
        <v>0</v>
      </c>
      <c r="O13" s="10">
        <v>0</v>
      </c>
      <c r="S13">
        <v>618.66835200000003</v>
      </c>
      <c r="T13">
        <v>881.44610399999999</v>
      </c>
      <c r="U13">
        <v>3671.3947760000001</v>
      </c>
      <c r="V13">
        <v>4308.7859660000004</v>
      </c>
      <c r="W13">
        <v>1317.546486</v>
      </c>
      <c r="X13">
        <v>1233.680918</v>
      </c>
      <c r="Y13">
        <v>808.76284399999997</v>
      </c>
      <c r="Z13">
        <v>1093.905088</v>
      </c>
      <c r="AA13">
        <v>149.02428699999999</v>
      </c>
      <c r="AB13">
        <v>149.02428699999999</v>
      </c>
      <c r="AC13" t="s">
        <v>46</v>
      </c>
      <c r="AD13" t="s">
        <v>46</v>
      </c>
    </row>
    <row r="14" spans="1:30" x14ac:dyDescent="0.2">
      <c r="A14" t="s">
        <v>20</v>
      </c>
      <c r="B14" s="48" t="s">
        <v>20</v>
      </c>
      <c r="C14" s="56" t="s">
        <v>21</v>
      </c>
      <c r="D14" s="10">
        <v>618.66835200000003</v>
      </c>
      <c r="E14" s="10">
        <v>881.44610399999999</v>
      </c>
      <c r="F14" s="10">
        <v>3671.3947760000001</v>
      </c>
      <c r="G14" s="10">
        <v>4308.7859660000004</v>
      </c>
      <c r="H14" s="10">
        <v>1317.546486</v>
      </c>
      <c r="I14" s="10">
        <v>1233.680918</v>
      </c>
      <c r="J14" s="10">
        <v>808.76284399999997</v>
      </c>
      <c r="K14" s="10">
        <v>1093.905088</v>
      </c>
      <c r="L14" s="10">
        <v>149.02428699999999</v>
      </c>
      <c r="M14" s="10">
        <v>149.02428699999999</v>
      </c>
      <c r="N14" s="10">
        <v>0</v>
      </c>
      <c r="O14" s="10">
        <v>0</v>
      </c>
    </row>
    <row r="16" spans="1:30" ht="16" x14ac:dyDescent="0.2">
      <c r="C16" s="1"/>
      <c r="J16" s="12"/>
      <c r="K16"/>
      <c r="L16" s="68" t="s">
        <v>22</v>
      </c>
      <c r="P16" s="13" t="s">
        <v>23</v>
      </c>
      <c r="S16" s="14"/>
      <c r="U16" s="15"/>
    </row>
    <row r="17" spans="2:22" ht="16" x14ac:dyDescent="0.2">
      <c r="D17" s="61" t="s">
        <v>58</v>
      </c>
      <c r="E17" s="61" t="s">
        <v>59</v>
      </c>
      <c r="F17" s="61" t="s">
        <v>60</v>
      </c>
      <c r="G17" s="61" t="s">
        <v>61</v>
      </c>
      <c r="H17" s="61" t="s">
        <v>57</v>
      </c>
      <c r="I17" s="61" t="s">
        <v>5</v>
      </c>
      <c r="J17" s="16" t="s">
        <v>24</v>
      </c>
      <c r="K17" s="1" t="s">
        <v>25</v>
      </c>
      <c r="L17" s="68"/>
      <c r="M17" s="1" t="s">
        <v>26</v>
      </c>
      <c r="P17" s="65" t="s">
        <v>27</v>
      </c>
      <c r="Q17" s="65"/>
      <c r="R17" s="65"/>
      <c r="S17" s="65" t="s">
        <v>28</v>
      </c>
      <c r="T17" s="65"/>
      <c r="U17" s="57" t="s">
        <v>29</v>
      </c>
      <c r="V17" s="57" t="s">
        <v>8</v>
      </c>
    </row>
    <row r="18" spans="2:22" x14ac:dyDescent="0.2">
      <c r="B18" s="48" t="s">
        <v>7</v>
      </c>
      <c r="C18" s="49" t="s">
        <v>8</v>
      </c>
      <c r="D18" s="18">
        <f t="shared" ref="D18:D25" si="0">AVERAGE(D7:E7)</f>
        <v>4915.4298089999993</v>
      </c>
      <c r="E18" s="18">
        <f t="shared" ref="E18:E25" si="1">AVERAGE(F7:G7)</f>
        <v>7495.7877365000004</v>
      </c>
      <c r="F18" s="18">
        <f t="shared" ref="F18:F25" si="2">AVERAGE(H7:I7)</f>
        <v>15871.861425999999</v>
      </c>
      <c r="G18" s="18">
        <f t="shared" ref="G18:G25" si="3">AVERAGE(J7:K7)</f>
        <v>2975.3008255</v>
      </c>
      <c r="H18" s="18">
        <f t="shared" ref="H18:I25" si="4">AVERAGE(L7)</f>
        <v>204.93420900000001</v>
      </c>
      <c r="I18" s="18">
        <f t="shared" si="4"/>
        <v>143.43329600000001</v>
      </c>
      <c r="J18" s="18">
        <f>AVERAGE((IF(D18&gt;$U$19,D18,"")),(IF(E18&gt;$U$19,E18,"")),(IF(F18&gt;$U$19,F18,"")),(IF(G18&gt;$U$19,G18,"")))</f>
        <v>7814.5949492499994</v>
      </c>
      <c r="K18" s="19"/>
      <c r="L18" s="19"/>
      <c r="M18" s="19"/>
      <c r="P18" s="64" t="s">
        <v>30</v>
      </c>
      <c r="Q18" s="64"/>
      <c r="R18" s="64"/>
      <c r="S18" s="69" t="s">
        <v>31</v>
      </c>
      <c r="T18" s="69"/>
      <c r="U18" s="20">
        <f>AVERAGE(M8:M14)</f>
        <v>180.17409842857143</v>
      </c>
      <c r="V18" s="20">
        <f>M7</f>
        <v>143.43329600000001</v>
      </c>
    </row>
    <row r="19" spans="2:22" x14ac:dyDescent="0.2">
      <c r="B19" s="48" t="s">
        <v>9</v>
      </c>
      <c r="C19" s="50" t="s">
        <v>44</v>
      </c>
      <c r="D19" s="18">
        <f t="shared" si="0"/>
        <v>831.12692049999998</v>
      </c>
      <c r="E19" s="18">
        <f t="shared" si="1"/>
        <v>5941.4161624999997</v>
      </c>
      <c r="F19" s="18">
        <f t="shared" si="2"/>
        <v>4767.2624460000006</v>
      </c>
      <c r="G19" s="18">
        <f t="shared" si="3"/>
        <v>1032.4039190000001</v>
      </c>
      <c r="H19" s="18">
        <f t="shared" si="4"/>
        <v>244.071168</v>
      </c>
      <c r="I19" s="18">
        <f t="shared" si="4"/>
        <v>199.34321499999999</v>
      </c>
      <c r="J19" s="18">
        <f t="shared" ref="J19:J25" si="5">AVERAGE((IF(D19&gt;$U$19,D19-$U$19,0)),(IF(E19&gt;$U$19,E19-$U$19,0)),(IF(F19&gt;$U$19,F19-$U$19,0)),(IF(G19&gt;$U$19,G19-$U$19,0)))</f>
        <v>2884.8667798053157</v>
      </c>
      <c r="K19" s="30">
        <v>4.4999999999999998E-2</v>
      </c>
      <c r="L19" s="18">
        <f t="shared" ref="L19:L20" si="6">K19*J19</f>
        <v>129.81900509123921</v>
      </c>
      <c r="M19" s="22">
        <f>L19/$L$21</f>
        <v>0.26166390756771679</v>
      </c>
      <c r="P19" s="64" t="s">
        <v>32</v>
      </c>
      <c r="Q19" s="64"/>
      <c r="R19" s="64"/>
      <c r="S19" s="64" t="s">
        <v>33</v>
      </c>
      <c r="T19" s="64"/>
      <c r="U19" s="20">
        <f>AVERAGE(M7:M14)+(4*M3)</f>
        <v>258.18558219468463</v>
      </c>
      <c r="V19" s="20">
        <f>U19</f>
        <v>258.18558219468463</v>
      </c>
    </row>
    <row r="20" spans="2:22" x14ac:dyDescent="0.2">
      <c r="B20" s="48" t="s">
        <v>11</v>
      </c>
      <c r="C20" s="51" t="s">
        <v>10</v>
      </c>
      <c r="D20" s="18">
        <f t="shared" si="0"/>
        <v>8119.2182804999993</v>
      </c>
      <c r="E20" s="18">
        <f t="shared" si="1"/>
        <v>9078.1337899999999</v>
      </c>
      <c r="F20" s="18">
        <f t="shared" si="2"/>
        <v>26524.317905</v>
      </c>
      <c r="G20" s="18">
        <f t="shared" si="3"/>
        <v>9818.9912619999996</v>
      </c>
      <c r="H20" s="18">
        <f t="shared" si="4"/>
        <v>216.116196</v>
      </c>
      <c r="I20" s="18">
        <f t="shared" si="4"/>
        <v>171.38825299999999</v>
      </c>
      <c r="J20" s="18">
        <f t="shared" si="5"/>
        <v>13126.979727180315</v>
      </c>
      <c r="K20" s="30">
        <v>4.4999999999999998E-2</v>
      </c>
      <c r="L20" s="18">
        <f t="shared" si="6"/>
        <v>590.71408772311418</v>
      </c>
      <c r="M20" s="22">
        <f t="shared" ref="M20" si="7">L20/$L$21</f>
        <v>1.1906465955450471</v>
      </c>
      <c r="P20" s="64" t="s">
        <v>62</v>
      </c>
      <c r="Q20" s="64"/>
      <c r="R20" s="64"/>
      <c r="S20" s="64" t="s">
        <v>34</v>
      </c>
      <c r="T20" s="64"/>
      <c r="U20" s="23">
        <f>ROUNDUP((COUNTIF(D8:K9,"&gt;"&amp;U19)/4),0)</f>
        <v>4</v>
      </c>
      <c r="V20" s="23">
        <f>ROUNDUP((COUNTIF(D7:K7,"&gt;"&amp;V19)/2),0)</f>
        <v>4</v>
      </c>
    </row>
    <row r="21" spans="2:22" x14ac:dyDescent="0.2">
      <c r="B21" s="48" t="s">
        <v>12</v>
      </c>
      <c r="C21" s="52" t="s">
        <v>13</v>
      </c>
      <c r="D21" s="18">
        <f t="shared" si="0"/>
        <v>7193.8611834999992</v>
      </c>
      <c r="E21" s="18">
        <f t="shared" si="1"/>
        <v>8082.8748750000004</v>
      </c>
      <c r="F21" s="18">
        <f t="shared" si="2"/>
        <v>3389.0431564999999</v>
      </c>
      <c r="G21" s="18">
        <f t="shared" si="3"/>
        <v>2212.1158210000003</v>
      </c>
      <c r="H21" s="18">
        <f t="shared" si="4"/>
        <v>210.52520200000001</v>
      </c>
      <c r="I21" s="18">
        <f t="shared" si="4"/>
        <v>182.57023699999999</v>
      </c>
      <c r="J21" s="18">
        <f t="shared" si="5"/>
        <v>4961.2881768053148</v>
      </c>
      <c r="K21" s="21">
        <v>0.1</v>
      </c>
      <c r="L21" s="18">
        <f>K21*J21</f>
        <v>496.12881768053148</v>
      </c>
      <c r="M21" s="22">
        <f>L21/$L$21</f>
        <v>1</v>
      </c>
      <c r="P21" s="64" t="s">
        <v>63</v>
      </c>
      <c r="Q21" s="64"/>
      <c r="R21" s="64"/>
      <c r="S21" s="64" t="s">
        <v>35</v>
      </c>
      <c r="T21" s="64"/>
      <c r="U21" s="24">
        <f>(COUNTIF(L9,"&lt;"&amp;U19)+COUNTIF(L8,"&lt;"&amp;U19))/2</f>
        <v>1</v>
      </c>
      <c r="V21" s="24">
        <f>(COUNTIF(L7,"&lt;"&amp;V19))</f>
        <v>1</v>
      </c>
    </row>
    <row r="22" spans="2:22" x14ac:dyDescent="0.2">
      <c r="B22" s="48" t="s">
        <v>14</v>
      </c>
      <c r="C22" s="53" t="s">
        <v>15</v>
      </c>
      <c r="D22" s="18">
        <f t="shared" si="0"/>
        <v>3352.7014770000001</v>
      </c>
      <c r="E22" s="18">
        <f t="shared" si="1"/>
        <v>6897.5198894999994</v>
      </c>
      <c r="F22" s="18">
        <f t="shared" si="2"/>
        <v>3534.4121485000001</v>
      </c>
      <c r="G22" s="18">
        <f t="shared" si="3"/>
        <v>1907.4024650000001</v>
      </c>
      <c r="H22" s="18">
        <f t="shared" si="4"/>
        <v>160.20626899999999</v>
      </c>
      <c r="I22" s="18">
        <f t="shared" si="4"/>
        <v>199.34321499999999</v>
      </c>
      <c r="J22" s="18">
        <f t="shared" si="5"/>
        <v>3664.8234128053155</v>
      </c>
      <c r="K22" s="25">
        <f>K21*2</f>
        <v>0.2</v>
      </c>
      <c r="L22" s="18">
        <f>K22*J22</f>
        <v>732.96468256106311</v>
      </c>
      <c r="M22" s="22">
        <f>L22/$L$21</f>
        <v>1.4773676844408494</v>
      </c>
      <c r="P22" s="26"/>
      <c r="S22" s="26"/>
      <c r="U22" s="27"/>
    </row>
    <row r="23" spans="2:22" ht="16" x14ac:dyDescent="0.2">
      <c r="B23" s="48" t="s">
        <v>16</v>
      </c>
      <c r="C23" s="54" t="s">
        <v>17</v>
      </c>
      <c r="D23" s="18">
        <f t="shared" si="0"/>
        <v>453.73368199999999</v>
      </c>
      <c r="E23" s="18">
        <f t="shared" si="1"/>
        <v>1328.7286705000001</v>
      </c>
      <c r="F23" s="18">
        <f t="shared" si="2"/>
        <v>831.12697649999996</v>
      </c>
      <c r="G23" s="18">
        <f t="shared" si="3"/>
        <v>272.02617500000002</v>
      </c>
      <c r="H23" s="18">
        <f t="shared" si="4"/>
        <v>216.116196</v>
      </c>
      <c r="I23" s="18">
        <f t="shared" si="4"/>
        <v>182.57023699999999</v>
      </c>
      <c r="J23" s="18">
        <f t="shared" si="5"/>
        <v>463.2182938053154</v>
      </c>
      <c r="K23" s="25">
        <f>K22</f>
        <v>0.2</v>
      </c>
      <c r="L23" s="18">
        <f>K23*J23</f>
        <v>92.64365876106308</v>
      </c>
      <c r="M23" s="22">
        <f>L23/$L$21</f>
        <v>0.18673307306393644</v>
      </c>
      <c r="P23" s="28" t="s">
        <v>36</v>
      </c>
      <c r="S23" s="26"/>
      <c r="U23" s="29"/>
    </row>
    <row r="24" spans="2:22" ht="16" x14ac:dyDescent="0.2">
      <c r="B24" s="48" t="s">
        <v>18</v>
      </c>
      <c r="C24" s="55" t="s">
        <v>19</v>
      </c>
      <c r="D24" s="18">
        <f t="shared" si="0"/>
        <v>629.85037699999998</v>
      </c>
      <c r="E24" s="18">
        <f t="shared" si="1"/>
        <v>3470.1143935</v>
      </c>
      <c r="F24" s="18">
        <f t="shared" si="2"/>
        <v>2340.7113195000002</v>
      </c>
      <c r="G24" s="18">
        <f t="shared" si="3"/>
        <v>736.07963599999994</v>
      </c>
      <c r="H24" s="18">
        <f t="shared" si="4"/>
        <v>199.34321499999999</v>
      </c>
      <c r="I24" s="18">
        <f t="shared" si="4"/>
        <v>176.97924499999999</v>
      </c>
      <c r="J24" s="18">
        <f t="shared" si="5"/>
        <v>1536.0033493053156</v>
      </c>
      <c r="K24" s="30">
        <f>K19</f>
        <v>4.4999999999999998E-2</v>
      </c>
      <c r="L24" s="18">
        <f>K24*J24</f>
        <v>69.120150718739197</v>
      </c>
      <c r="M24" s="22">
        <f>L24/$L$21</f>
        <v>0.13931895962400478</v>
      </c>
      <c r="P24" s="65" t="s">
        <v>37</v>
      </c>
      <c r="Q24" s="65"/>
      <c r="R24" s="65" t="s">
        <v>28</v>
      </c>
      <c r="S24" s="65"/>
      <c r="T24" s="65"/>
      <c r="U24" s="31" t="s">
        <v>29</v>
      </c>
      <c r="V24" s="31" t="s">
        <v>38</v>
      </c>
    </row>
    <row r="25" spans="2:22" x14ac:dyDescent="0.2">
      <c r="B25" s="48" t="s">
        <v>20</v>
      </c>
      <c r="C25" s="56" t="s">
        <v>21</v>
      </c>
      <c r="D25" s="18">
        <f t="shared" si="0"/>
        <v>750.05722800000001</v>
      </c>
      <c r="E25" s="18">
        <f t="shared" si="1"/>
        <v>3990.0903710000002</v>
      </c>
      <c r="F25" s="18">
        <f t="shared" si="2"/>
        <v>1275.6137020000001</v>
      </c>
      <c r="G25" s="18">
        <f t="shared" si="3"/>
        <v>951.33396599999992</v>
      </c>
      <c r="H25" s="18">
        <f t="shared" si="4"/>
        <v>149.02428699999999</v>
      </c>
      <c r="I25" s="18">
        <f t="shared" si="4"/>
        <v>149.02428699999999</v>
      </c>
      <c r="J25" s="18">
        <f t="shared" si="5"/>
        <v>1483.5882345553155</v>
      </c>
      <c r="K25" s="21">
        <f>K19*2</f>
        <v>0.09</v>
      </c>
      <c r="L25" s="18">
        <f>K25*J25</f>
        <v>133.52294110997838</v>
      </c>
      <c r="M25" s="22">
        <f>L25/$L$21</f>
        <v>0.26912958157563993</v>
      </c>
      <c r="P25" s="63" t="s">
        <v>53</v>
      </c>
      <c r="Q25" s="63"/>
      <c r="R25" s="32">
        <v>0.9</v>
      </c>
      <c r="S25" s="33" t="s">
        <v>39</v>
      </c>
      <c r="T25" s="34">
        <v>1.25</v>
      </c>
      <c r="U25" s="35">
        <f>D26</f>
        <v>0.75698627811950059</v>
      </c>
      <c r="V25" s="36" t="str">
        <f>IF(U25&gt;R25,"pass","fail")</f>
        <v>fail</v>
      </c>
    </row>
    <row r="26" spans="2:22" x14ac:dyDescent="0.2">
      <c r="B26" s="11"/>
      <c r="C26" s="37" t="s">
        <v>40</v>
      </c>
      <c r="D26" s="38">
        <f>LOG(D19)/LOG(D21)</f>
        <v>0.75698627811950059</v>
      </c>
      <c r="E26" s="38">
        <f>LOG(E19)/LOG(E21)</f>
        <v>0.96579049784872373</v>
      </c>
      <c r="F26" s="38">
        <f>LOG(F19)/LOG(F22)</f>
        <v>1.0366235212211159</v>
      </c>
      <c r="G26" s="38">
        <f>LOG(G19)/LOG(G22)</f>
        <v>0.91873269897684828</v>
      </c>
      <c r="H26" s="58"/>
      <c r="I26" s="58"/>
      <c r="J26" s="58"/>
      <c r="K26"/>
      <c r="L26" t="s">
        <v>41</v>
      </c>
      <c r="M26" s="11">
        <f>SUM(M23:M25,M19)</f>
        <v>0.85684552183129803</v>
      </c>
      <c r="P26" s="63" t="s">
        <v>59</v>
      </c>
      <c r="Q26" s="63"/>
      <c r="R26" s="32">
        <v>0.95</v>
      </c>
      <c r="S26" s="33" t="s">
        <v>39</v>
      </c>
      <c r="T26" s="34">
        <v>1.25</v>
      </c>
      <c r="U26" s="35">
        <f>E26</f>
        <v>0.96579049784872373</v>
      </c>
      <c r="V26" s="36" t="str">
        <f t="shared" ref="V26:V28" si="8">IF(U26&gt;R26,"pass","fail")</f>
        <v>pass</v>
      </c>
    </row>
    <row r="27" spans="2:22" x14ac:dyDescent="0.2">
      <c r="H27" s="2"/>
      <c r="I27" s="2"/>
      <c r="J27" s="2"/>
      <c r="K27"/>
      <c r="P27" s="63" t="s">
        <v>55</v>
      </c>
      <c r="Q27" s="63"/>
      <c r="R27" s="32">
        <v>0.95</v>
      </c>
      <c r="S27" s="33" t="s">
        <v>39</v>
      </c>
      <c r="T27" s="34">
        <v>1.5</v>
      </c>
      <c r="U27" s="35">
        <f>F26</f>
        <v>1.0366235212211159</v>
      </c>
      <c r="V27" s="36" t="str">
        <f t="shared" si="8"/>
        <v>pass</v>
      </c>
    </row>
    <row r="28" spans="2:22" x14ac:dyDescent="0.2">
      <c r="B28" s="1" t="s">
        <v>42</v>
      </c>
      <c r="D28" s="61" t="s">
        <v>58</v>
      </c>
      <c r="E28" s="61" t="s">
        <v>59</v>
      </c>
      <c r="F28" s="61" t="s">
        <v>60</v>
      </c>
      <c r="G28" s="61" t="s">
        <v>61</v>
      </c>
      <c r="K28" s="61" t="s">
        <v>58</v>
      </c>
      <c r="L28" s="61" t="s">
        <v>59</v>
      </c>
      <c r="M28" s="61" t="s">
        <v>60</v>
      </c>
      <c r="N28" s="61" t="s">
        <v>61</v>
      </c>
      <c r="P28" s="63" t="s">
        <v>56</v>
      </c>
      <c r="Q28" s="63"/>
      <c r="R28" s="32">
        <v>0.95</v>
      </c>
      <c r="S28" s="33" t="s">
        <v>39</v>
      </c>
      <c r="T28" s="34">
        <v>1.5</v>
      </c>
      <c r="U28" s="35">
        <f>G26</f>
        <v>0.91873269897684828</v>
      </c>
      <c r="V28" s="36" t="str">
        <f t="shared" si="8"/>
        <v>fail</v>
      </c>
    </row>
    <row r="29" spans="2:22" x14ac:dyDescent="0.2">
      <c r="B29" s="48" t="s">
        <v>7</v>
      </c>
      <c r="C29" s="49" t="s">
        <v>8</v>
      </c>
      <c r="D29" s="2">
        <f t="shared" ref="D29:D36" si="9">STDEV(D7:E7)</f>
        <v>794.66713932101516</v>
      </c>
      <c r="E29" s="2">
        <f t="shared" ref="E29:E36" si="10">STDEV(F7:G7)</f>
        <v>506.06640187996533</v>
      </c>
      <c r="F29" s="2">
        <f t="shared" ref="F29:F36" si="11">STDEV(H7:I7)</f>
        <v>5227.0427937317527</v>
      </c>
      <c r="G29" s="2">
        <f t="shared" ref="G29:G36" si="12">STDEV(J7:K7)</f>
        <v>683.95736594189032</v>
      </c>
      <c r="I29" s="48" t="s">
        <v>7</v>
      </c>
      <c r="J29" s="49" t="s">
        <v>8</v>
      </c>
      <c r="K29" s="39">
        <f>D29/D18</f>
        <v>0.16166788464072954</v>
      </c>
      <c r="L29" s="39">
        <f>E29/E18</f>
        <v>6.7513438169510165E-2</v>
      </c>
      <c r="M29" s="39">
        <f>F29/F18</f>
        <v>0.32932764805829479</v>
      </c>
      <c r="N29" s="39">
        <f>G29/G18</f>
        <v>0.22987839081009603</v>
      </c>
      <c r="P29" s="26"/>
      <c r="U29" s="27"/>
    </row>
    <row r="30" spans="2:22" x14ac:dyDescent="0.2">
      <c r="B30" s="48" t="s">
        <v>9</v>
      </c>
      <c r="C30" s="50" t="s">
        <v>44</v>
      </c>
      <c r="D30" s="2">
        <f t="shared" si="9"/>
        <v>15.813790501678065</v>
      </c>
      <c r="E30" s="2">
        <f t="shared" si="10"/>
        <v>450.71017699082313</v>
      </c>
      <c r="F30" s="2">
        <f t="shared" si="11"/>
        <v>363.72784258753597</v>
      </c>
      <c r="G30" s="2">
        <f t="shared" si="12"/>
        <v>284.64866177955577</v>
      </c>
      <c r="I30" s="48" t="s">
        <v>9</v>
      </c>
      <c r="J30" s="50" t="s">
        <v>44</v>
      </c>
      <c r="K30" s="39">
        <f t="shared" ref="K30:N36" si="13">D30/D19</f>
        <v>1.9026926106742642E-2</v>
      </c>
      <c r="L30" s="39">
        <f t="shared" si="13"/>
        <v>7.5859048527106634E-2</v>
      </c>
      <c r="M30" s="39">
        <f t="shared" si="13"/>
        <v>7.6297004141805527E-2</v>
      </c>
      <c r="N30" s="39">
        <f t="shared" si="13"/>
        <v>0.27571443360586056</v>
      </c>
    </row>
    <row r="31" spans="2:22" x14ac:dyDescent="0.2">
      <c r="B31" s="48" t="s">
        <v>11</v>
      </c>
      <c r="C31" s="51" t="s">
        <v>10</v>
      </c>
      <c r="D31" s="2">
        <f t="shared" si="9"/>
        <v>3.9536624091040609</v>
      </c>
      <c r="E31" s="2">
        <f t="shared" si="10"/>
        <v>379.55426979450141</v>
      </c>
      <c r="F31" s="2">
        <f t="shared" si="11"/>
        <v>830.38274221428458</v>
      </c>
      <c r="G31" s="2">
        <f t="shared" si="12"/>
        <v>304.43583165582442</v>
      </c>
      <c r="I31" s="48" t="s">
        <v>11</v>
      </c>
      <c r="J31" s="51" t="s">
        <v>10</v>
      </c>
      <c r="K31" s="39">
        <f t="shared" si="13"/>
        <v>4.8695111678418698E-4</v>
      </c>
      <c r="L31" s="39">
        <f t="shared" si="13"/>
        <v>4.1809724176195627E-2</v>
      </c>
      <c r="M31" s="39">
        <f t="shared" si="13"/>
        <v>3.1306469225274677E-2</v>
      </c>
      <c r="N31" s="39">
        <f t="shared" si="13"/>
        <v>3.1004797084809181E-2</v>
      </c>
    </row>
    <row r="32" spans="2:22" x14ac:dyDescent="0.2">
      <c r="B32" s="48" t="s">
        <v>12</v>
      </c>
      <c r="C32" s="52" t="s">
        <v>13</v>
      </c>
      <c r="D32" s="2">
        <f t="shared" si="9"/>
        <v>1391.6794785205045</v>
      </c>
      <c r="E32" s="2">
        <f t="shared" si="10"/>
        <v>316.29288241968754</v>
      </c>
      <c r="F32" s="2">
        <f t="shared" si="11"/>
        <v>533.72559921814081</v>
      </c>
      <c r="G32" s="2">
        <f t="shared" si="12"/>
        <v>102.79069715331259</v>
      </c>
      <c r="I32" s="48" t="s">
        <v>12</v>
      </c>
      <c r="J32" s="52" t="s">
        <v>13</v>
      </c>
      <c r="K32" s="39">
        <f t="shared" si="13"/>
        <v>0.19345375772783768</v>
      </c>
      <c r="L32" s="39">
        <f t="shared" si="13"/>
        <v>3.913123576834876E-2</v>
      </c>
      <c r="M32" s="39">
        <f t="shared" si="13"/>
        <v>0.15748563077294669</v>
      </c>
      <c r="N32" s="39">
        <f t="shared" si="13"/>
        <v>4.6467140724505751E-2</v>
      </c>
    </row>
    <row r="33" spans="1:14" x14ac:dyDescent="0.2">
      <c r="B33" s="48" t="s">
        <v>14</v>
      </c>
      <c r="C33" s="53" t="s">
        <v>15</v>
      </c>
      <c r="D33" s="2">
        <f t="shared" si="9"/>
        <v>790.70437856895103</v>
      </c>
      <c r="E33" s="2">
        <f t="shared" si="10"/>
        <v>142.33054211574407</v>
      </c>
      <c r="F33" s="2">
        <f t="shared" si="11"/>
        <v>304.42159688921282</v>
      </c>
      <c r="G33" s="2">
        <f t="shared" si="12"/>
        <v>51.395231904037452</v>
      </c>
      <c r="I33" s="48" t="s">
        <v>14</v>
      </c>
      <c r="J33" s="53" t="s">
        <v>15</v>
      </c>
      <c r="K33" s="39">
        <f t="shared" si="13"/>
        <v>0.23584097301632531</v>
      </c>
      <c r="L33" s="39">
        <f t="shared" si="13"/>
        <v>2.0635031778945923E-2</v>
      </c>
      <c r="M33" s="39">
        <f t="shared" si="13"/>
        <v>8.6130757845660114E-2</v>
      </c>
      <c r="N33" s="39">
        <f t="shared" si="13"/>
        <v>2.6945142856380576E-2</v>
      </c>
    </row>
    <row r="34" spans="1:14" x14ac:dyDescent="0.2">
      <c r="B34" s="48" t="s">
        <v>16</v>
      </c>
      <c r="C34" s="54" t="s">
        <v>17</v>
      </c>
      <c r="D34" s="2">
        <f t="shared" si="9"/>
        <v>146.27715467023978</v>
      </c>
      <c r="E34" s="2">
        <f t="shared" si="10"/>
        <v>237.20774140864742</v>
      </c>
      <c r="F34" s="2">
        <f t="shared" si="11"/>
        <v>173.95169976110017</v>
      </c>
      <c r="G34" s="2">
        <f t="shared" si="12"/>
        <v>126.50980075440673</v>
      </c>
      <c r="I34" s="48" t="s">
        <v>16</v>
      </c>
      <c r="J34" s="54" t="s">
        <v>17</v>
      </c>
      <c r="K34" s="39">
        <f t="shared" si="13"/>
        <v>0.32238548838928777</v>
      </c>
      <c r="L34" s="39">
        <f t="shared" si="13"/>
        <v>0.17852233241824023</v>
      </c>
      <c r="M34" s="39">
        <f t="shared" si="13"/>
        <v>0.20929617817681337</v>
      </c>
      <c r="N34" s="39">
        <f t="shared" si="13"/>
        <v>0.46506480765833186</v>
      </c>
    </row>
    <row r="35" spans="1:14" x14ac:dyDescent="0.2">
      <c r="B35" s="48" t="s">
        <v>18</v>
      </c>
      <c r="C35" s="55" t="s">
        <v>19</v>
      </c>
      <c r="D35" s="2">
        <f t="shared" si="9"/>
        <v>47.441301501462959</v>
      </c>
      <c r="E35" s="2">
        <f t="shared" si="10"/>
        <v>474.4230410816802</v>
      </c>
      <c r="F35" s="2">
        <f t="shared" si="11"/>
        <v>608.8377865328705</v>
      </c>
      <c r="G35" s="2">
        <f t="shared" si="12"/>
        <v>79.068898061168312</v>
      </c>
      <c r="I35" s="48" t="s">
        <v>18</v>
      </c>
      <c r="J35" s="55" t="s">
        <v>19</v>
      </c>
      <c r="K35" s="39">
        <f t="shared" si="13"/>
        <v>7.5321541803987771E-2</v>
      </c>
      <c r="L35" s="39">
        <f t="shared" si="13"/>
        <v>0.1367168304221727</v>
      </c>
      <c r="M35" s="39">
        <f t="shared" si="13"/>
        <v>0.26010801992572258</v>
      </c>
      <c r="N35" s="39">
        <f t="shared" si="13"/>
        <v>0.10741894517126449</v>
      </c>
    </row>
    <row r="36" spans="1:14" x14ac:dyDescent="0.2">
      <c r="B36" s="48" t="s">
        <v>20</v>
      </c>
      <c r="C36" s="56" t="s">
        <v>21</v>
      </c>
      <c r="D36" s="2">
        <f t="shared" si="9"/>
        <v>185.81193038415702</v>
      </c>
      <c r="E36" s="2">
        <f t="shared" si="10"/>
        <v>450.70363271756332</v>
      </c>
      <c r="F36" s="2">
        <f t="shared" si="11"/>
        <v>59.301911840861479</v>
      </c>
      <c r="G36" s="2">
        <f t="shared" si="12"/>
        <v>201.6260143351497</v>
      </c>
      <c r="I36" s="48" t="s">
        <v>20</v>
      </c>
      <c r="J36" s="56" t="s">
        <v>21</v>
      </c>
      <c r="K36" s="39">
        <f t="shared" si="13"/>
        <v>0.24773033769652175</v>
      </c>
      <c r="L36" s="39">
        <f t="shared" si="13"/>
        <v>0.11295574556237621</v>
      </c>
      <c r="M36" s="39">
        <f t="shared" si="13"/>
        <v>4.6488926661640291E-2</v>
      </c>
      <c r="N36" s="39">
        <f t="shared" si="13"/>
        <v>0.21194030859941956</v>
      </c>
    </row>
    <row r="37" spans="1:14" x14ac:dyDescent="0.2">
      <c r="K37"/>
    </row>
    <row r="38" spans="1:14" x14ac:dyDescent="0.2">
      <c r="D38" s="1" t="s">
        <v>43</v>
      </c>
      <c r="K38"/>
    </row>
    <row r="39" spans="1:14" x14ac:dyDescent="0.2">
      <c r="D39" s="61" t="s">
        <v>58</v>
      </c>
      <c r="E39" s="61" t="s">
        <v>59</v>
      </c>
      <c r="F39" s="61" t="s">
        <v>60</v>
      </c>
      <c r="G39" s="61" t="s">
        <v>61</v>
      </c>
      <c r="K39"/>
    </row>
    <row r="40" spans="1:14" x14ac:dyDescent="0.2">
      <c r="C40" s="40" t="s">
        <v>13</v>
      </c>
      <c r="D40" s="22">
        <f t="shared" ref="D40:G44" si="14">(D21*$K21)/(D$21*$K$21)</f>
        <v>1</v>
      </c>
      <c r="E40" s="22">
        <f t="shared" si="14"/>
        <v>1</v>
      </c>
      <c r="F40" s="22">
        <f t="shared" si="14"/>
        <v>1</v>
      </c>
      <c r="G40" s="22">
        <f t="shared" si="14"/>
        <v>1</v>
      </c>
      <c r="K40"/>
    </row>
    <row r="41" spans="1:14" ht="16" thickBot="1" x14ac:dyDescent="0.25">
      <c r="C41" s="41" t="s">
        <v>15</v>
      </c>
      <c r="D41" s="42">
        <f t="shared" si="14"/>
        <v>0.93210068737212537</v>
      </c>
      <c r="E41" s="42">
        <f t="shared" si="14"/>
        <v>1.7066996572800464</v>
      </c>
      <c r="F41" s="42">
        <f t="shared" si="14"/>
        <v>2.0857876310729124</v>
      </c>
      <c r="G41" s="42">
        <f t="shared" si="14"/>
        <v>1.7245050615276982</v>
      </c>
      <c r="K41"/>
    </row>
    <row r="42" spans="1:14" x14ac:dyDescent="0.2">
      <c r="C42" s="43" t="s">
        <v>17</v>
      </c>
      <c r="D42" s="44">
        <f t="shared" si="14"/>
        <v>0.12614468653932154</v>
      </c>
      <c r="E42" s="44">
        <f t="shared" si="14"/>
        <v>0.32877625623271822</v>
      </c>
      <c r="F42" s="44">
        <f t="shared" si="14"/>
        <v>0.4904788390823196</v>
      </c>
      <c r="G42" s="44">
        <f t="shared" si="14"/>
        <v>0.2459420726687167</v>
      </c>
      <c r="K42"/>
    </row>
    <row r="43" spans="1:14" x14ac:dyDescent="0.2">
      <c r="C43" s="45" t="s">
        <v>19</v>
      </c>
      <c r="D43" s="22">
        <f t="shared" si="14"/>
        <v>3.9399240883336406E-2</v>
      </c>
      <c r="E43" s="22">
        <f t="shared" si="14"/>
        <v>0.19319258323604813</v>
      </c>
      <c r="F43" s="22">
        <f t="shared" si="14"/>
        <v>0.31080161719238941</v>
      </c>
      <c r="G43" s="22">
        <f t="shared" si="14"/>
        <v>0.14973711279288388</v>
      </c>
    </row>
    <row r="44" spans="1:14" x14ac:dyDescent="0.2">
      <c r="A44" s="12"/>
      <c r="C44" s="46" t="s">
        <v>21</v>
      </c>
      <c r="D44" s="22">
        <f t="shared" si="14"/>
        <v>9.3837160320567936E-2</v>
      </c>
      <c r="E44" s="22">
        <f t="shared" si="14"/>
        <v>0.44428268276267235</v>
      </c>
      <c r="F44" s="22">
        <f t="shared" si="14"/>
        <v>0.33875411990493487</v>
      </c>
      <c r="G44" s="22">
        <f t="shared" si="14"/>
        <v>0.38705051574241223</v>
      </c>
      <c r="K44"/>
    </row>
    <row r="45" spans="1:14" x14ac:dyDescent="0.2">
      <c r="C45" s="47" t="s">
        <v>10</v>
      </c>
      <c r="D45" s="22">
        <f>(D19*$K19)/(D$21*$K$21)</f>
        <v>5.1989759697175002E-2</v>
      </c>
      <c r="E45" s="22">
        <f>(E19*$K19)/(E$21*$K$21)</f>
        <v>0.33077801085285258</v>
      </c>
      <c r="F45" s="22">
        <f>(F19*$K19)/(F$21*$K$21)</f>
        <v>0.63300111613671628</v>
      </c>
      <c r="G45" s="22">
        <f>(G19*$K19)/(G$21*$K$21)</f>
        <v>0.21001692548809808</v>
      </c>
      <c r="K45"/>
    </row>
    <row r="46" spans="1:14" x14ac:dyDescent="0.2">
      <c r="D46" s="11">
        <f>SUM(D42:D45)</f>
        <v>0.31137084744040089</v>
      </c>
      <c r="E46" s="11">
        <f t="shared" ref="E46:G46" si="15">SUM(E42:E45)</f>
        <v>1.2970295330842914</v>
      </c>
      <c r="F46" s="11">
        <f t="shared" si="15"/>
        <v>1.7730356923163604</v>
      </c>
      <c r="G46" s="11">
        <f t="shared" si="15"/>
        <v>0.992746626692111</v>
      </c>
      <c r="K46"/>
    </row>
    <row r="47" spans="1:14" x14ac:dyDescent="0.2">
      <c r="K47"/>
    </row>
    <row r="48" spans="1:14" x14ac:dyDescent="0.2">
      <c r="K48"/>
    </row>
    <row r="49" spans="1:11" x14ac:dyDescent="0.2">
      <c r="K49"/>
    </row>
    <row r="50" spans="1:11" x14ac:dyDescent="0.2">
      <c r="K50"/>
    </row>
    <row r="51" spans="1:11" x14ac:dyDescent="0.2">
      <c r="K51"/>
    </row>
    <row r="52" spans="1:11" x14ac:dyDescent="0.2">
      <c r="K52"/>
    </row>
    <row r="53" spans="1:11" x14ac:dyDescent="0.2">
      <c r="K53"/>
    </row>
    <row r="54" spans="1:11" x14ac:dyDescent="0.2">
      <c r="K54"/>
    </row>
    <row r="55" spans="1:11" x14ac:dyDescent="0.2">
      <c r="A55" s="12"/>
      <c r="K55"/>
    </row>
  </sheetData>
  <mergeCells count="21">
    <mergeCell ref="P27:Q27"/>
    <mergeCell ref="P28:Q28"/>
    <mergeCell ref="P21:R21"/>
    <mergeCell ref="S21:T21"/>
    <mergeCell ref="P24:Q24"/>
    <mergeCell ref="R24:T24"/>
    <mergeCell ref="P25:Q25"/>
    <mergeCell ref="P26:Q26"/>
    <mergeCell ref="P20:R20"/>
    <mergeCell ref="S20:T20"/>
    <mergeCell ref="D5:E5"/>
    <mergeCell ref="F5:G5"/>
    <mergeCell ref="H5:I5"/>
    <mergeCell ref="J5:K5"/>
    <mergeCell ref="L16:L17"/>
    <mergeCell ref="P17:R17"/>
    <mergeCell ref="S17:T17"/>
    <mergeCell ref="P18:R18"/>
    <mergeCell ref="S18:T18"/>
    <mergeCell ref="P19:R19"/>
    <mergeCell ref="S19:T19"/>
  </mergeCells>
  <conditionalFormatting sqref="D7:O14">
    <cfRule type="cellIs" dxfId="3" priority="4" operator="lessThanOrEqual">
      <formula>$U$19</formula>
    </cfRule>
  </conditionalFormatting>
  <conditionalFormatting sqref="U20:V20">
    <cfRule type="cellIs" dxfId="2" priority="3" operator="lessThan">
      <formula>4</formula>
    </cfRule>
  </conditionalFormatting>
  <conditionalFormatting sqref="U21:V21">
    <cfRule type="cellIs" dxfId="1" priority="2" operator="lessThan">
      <formula>1</formula>
    </cfRule>
  </conditionalFormatting>
  <conditionalFormatting sqref="V25:V28">
    <cfRule type="cellIs" dxfId="0" priority="1" operator="equal">
      <formula>"fail"</formula>
    </cfRule>
  </conditionalFormatting>
  <pageMargins left="0.7" right="0.7" top="0.75" bottom="0.75" header="0.3" footer="0.3"/>
  <pageSetup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RL3 (2)</vt:lpstr>
      <vt:lpstr>Results PNZ17A 100mL reserv</vt:lpstr>
      <vt:lpstr>Results PNZ17A 250mL reserv</vt:lpstr>
      <vt:lpstr>Results PNZ17A 500mL reserv</vt:lpstr>
    </vt:vector>
  </TitlesOfParts>
  <Company>F. Hoffmann-La Roche,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Segraves, Erika {DMDA~Los Gatos}</dc:creator>
  <cp:lastModifiedBy>Microsoft Office User</cp:lastModifiedBy>
  <cp:lastPrinted>2017-08-18T22:19:36Z</cp:lastPrinted>
  <dcterms:created xsi:type="dcterms:W3CDTF">2017-08-18T01:14:12Z</dcterms:created>
  <dcterms:modified xsi:type="dcterms:W3CDTF">2017-10-11T21:08:45Z</dcterms:modified>
</cp:coreProperties>
</file>