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Company Reports\"/>
    </mc:Choice>
  </mc:AlternateContent>
  <xr:revisionPtr revIDLastSave="0" documentId="13_ncr:1_{66C6FF78-A4D0-4016-8CEB-F87DCED2B652}" xr6:coauthVersionLast="47" xr6:coauthVersionMax="47" xr10:uidLastSave="{00000000-0000-0000-0000-000000000000}"/>
  <bookViews>
    <workbookView xWindow="-96" yWindow="0" windowWidth="11712" windowHeight="12336" firstSheet="2" activeTab="5" xr2:uid="{00000000-000D-0000-FFFF-FFFF00000000}"/>
  </bookViews>
  <sheets>
    <sheet name="Tata Power" sheetId="1" r:id="rId1"/>
    <sheet name="Adani" sheetId="3" r:id="rId2"/>
    <sheet name="NTPC" sheetId="2" r:id="rId3"/>
    <sheet name="Powergrid" sheetId="4" r:id="rId4"/>
    <sheet name="RIL" sheetId="5" r:id="rId5"/>
    <sheet name="ONG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6" l="1"/>
  <c r="K18" i="5"/>
  <c r="D21" i="5"/>
  <c r="C21" i="5"/>
  <c r="K18" i="4"/>
  <c r="K15" i="4"/>
  <c r="D10" i="4"/>
  <c r="C10" i="4"/>
  <c r="K18" i="2"/>
  <c r="K15" i="2"/>
  <c r="D10" i="2"/>
  <c r="C10" i="2"/>
  <c r="K18" i="3"/>
  <c r="D19" i="3"/>
  <c r="C19" i="3"/>
  <c r="L15" i="3"/>
  <c r="K15" i="3"/>
  <c r="K18" i="1"/>
  <c r="H21" i="6"/>
  <c r="G21" i="6"/>
  <c r="G11" i="6"/>
  <c r="G19" i="6"/>
  <c r="D18" i="6"/>
  <c r="D22" i="6" s="1"/>
  <c r="C18" i="6"/>
  <c r="K17" i="6"/>
  <c r="K19" i="6" s="1"/>
  <c r="D10" i="6"/>
  <c r="C10" i="6"/>
  <c r="H8" i="6"/>
  <c r="G8" i="6"/>
  <c r="D7" i="6"/>
  <c r="D11" i="6" s="1"/>
  <c r="C7" i="6"/>
  <c r="C11" i="6" s="1"/>
  <c r="H21" i="5"/>
  <c r="G21" i="5"/>
  <c r="D20" i="5"/>
  <c r="H11" i="5" s="1"/>
  <c r="C20" i="5"/>
  <c r="G11" i="5" s="1"/>
  <c r="H19" i="5"/>
  <c r="D18" i="5"/>
  <c r="C18" i="5"/>
  <c r="K17" i="5"/>
  <c r="D10" i="5"/>
  <c r="C10" i="5"/>
  <c r="H8" i="5"/>
  <c r="G8" i="5"/>
  <c r="D7" i="5"/>
  <c r="D11" i="5" s="1"/>
  <c r="C7" i="5"/>
  <c r="G22" i="5" s="1"/>
  <c r="H21" i="4"/>
  <c r="G21" i="4"/>
  <c r="D20" i="4"/>
  <c r="H11" i="4" s="1"/>
  <c r="H19" i="4"/>
  <c r="D18" i="4"/>
  <c r="C18" i="4"/>
  <c r="C20" i="4" s="1"/>
  <c r="G11" i="4" s="1"/>
  <c r="K17" i="4"/>
  <c r="H8" i="4"/>
  <c r="G8" i="4"/>
  <c r="D11" i="4"/>
  <c r="G22" i="4"/>
  <c r="H21" i="3"/>
  <c r="G21" i="3"/>
  <c r="D18" i="3"/>
  <c r="H11" i="3" s="1"/>
  <c r="C18" i="3"/>
  <c r="K17" i="3"/>
  <c r="K19" i="3" s="1"/>
  <c r="D10" i="3"/>
  <c r="H19" i="3" s="1"/>
  <c r="C10" i="3"/>
  <c r="G19" i="3" s="1"/>
  <c r="H8" i="3"/>
  <c r="G8" i="3"/>
  <c r="D7" i="3"/>
  <c r="C7" i="3"/>
  <c r="G22" i="3" s="1"/>
  <c r="H21" i="2"/>
  <c r="G21" i="2"/>
  <c r="D18" i="2"/>
  <c r="D20" i="2" s="1"/>
  <c r="C18" i="2"/>
  <c r="C20" i="2" s="1"/>
  <c r="K17" i="2"/>
  <c r="K19" i="2" s="1"/>
  <c r="H19" i="2"/>
  <c r="H8" i="2"/>
  <c r="G8" i="2"/>
  <c r="G22" i="2"/>
  <c r="H19" i="1"/>
  <c r="K17" i="1"/>
  <c r="K19" i="1" s="1"/>
  <c r="H21" i="1"/>
  <c r="G21" i="1"/>
  <c r="G22" i="1"/>
  <c r="H8" i="1"/>
  <c r="G8" i="1"/>
  <c r="D18" i="1"/>
  <c r="H15" i="1" s="1"/>
  <c r="C18" i="1"/>
  <c r="C11" i="1"/>
  <c r="G18" i="1" s="1"/>
  <c r="H18" i="6" l="1"/>
  <c r="H19" i="6"/>
  <c r="G18" i="6"/>
  <c r="K19" i="5"/>
  <c r="H18" i="5"/>
  <c r="G19" i="5"/>
  <c r="K19" i="4"/>
  <c r="H18" i="4"/>
  <c r="G19" i="4"/>
  <c r="D11" i="2"/>
  <c r="H18" i="2" s="1"/>
  <c r="G11" i="3"/>
  <c r="D11" i="3"/>
  <c r="H18" i="3"/>
  <c r="G19" i="1"/>
  <c r="D24" i="6"/>
  <c r="H16" i="6"/>
  <c r="H14" i="6"/>
  <c r="H12" i="6"/>
  <c r="G15" i="6"/>
  <c r="G22" i="6"/>
  <c r="H11" i="6"/>
  <c r="H15" i="6"/>
  <c r="C22" i="6"/>
  <c r="G15" i="5"/>
  <c r="H15" i="5"/>
  <c r="C11" i="5"/>
  <c r="G18" i="5" s="1"/>
  <c r="G15" i="4"/>
  <c r="H15" i="4"/>
  <c r="C11" i="4"/>
  <c r="G18" i="4" s="1"/>
  <c r="H15" i="3"/>
  <c r="C11" i="3"/>
  <c r="G18" i="3" s="1"/>
  <c r="D22" i="3"/>
  <c r="G11" i="2"/>
  <c r="G15" i="2"/>
  <c r="H11" i="2"/>
  <c r="H15" i="2"/>
  <c r="G19" i="2"/>
  <c r="C11" i="2"/>
  <c r="G18" i="2" s="1"/>
  <c r="D11" i="1"/>
  <c r="H18" i="1" s="1"/>
  <c r="G15" i="1"/>
  <c r="G11" i="1"/>
  <c r="C22" i="1"/>
  <c r="H11" i="1"/>
  <c r="D22" i="1"/>
  <c r="G15" i="3" l="1"/>
  <c r="C22" i="3"/>
  <c r="G12" i="6"/>
  <c r="C24" i="6"/>
  <c r="G16" i="6"/>
  <c r="G14" i="6"/>
  <c r="D24" i="5"/>
  <c r="H16" i="5"/>
  <c r="H14" i="5"/>
  <c r="H12" i="5"/>
  <c r="G12" i="5"/>
  <c r="C24" i="5"/>
  <c r="G16" i="5"/>
  <c r="G14" i="5"/>
  <c r="D24" i="4"/>
  <c r="H16" i="4"/>
  <c r="H14" i="4"/>
  <c r="H12" i="4"/>
  <c r="G12" i="4"/>
  <c r="C24" i="4"/>
  <c r="G16" i="4"/>
  <c r="G14" i="4"/>
  <c r="D24" i="3"/>
  <c r="H16" i="3"/>
  <c r="H14" i="3"/>
  <c r="H12" i="3"/>
  <c r="G12" i="3"/>
  <c r="C24" i="3"/>
  <c r="G16" i="3"/>
  <c r="G14" i="3"/>
  <c r="D24" i="2"/>
  <c r="H16" i="2"/>
  <c r="H14" i="2"/>
  <c r="H12" i="2"/>
  <c r="C24" i="2"/>
  <c r="G16" i="2"/>
  <c r="G14" i="2"/>
  <c r="G12" i="2"/>
  <c r="H14" i="1"/>
  <c r="H16" i="1"/>
  <c r="H12" i="1"/>
  <c r="D24" i="1"/>
  <c r="G16" i="1"/>
  <c r="G14" i="1"/>
  <c r="G12" i="1"/>
  <c r="C24" i="1"/>
</calcChain>
</file>

<file path=xl/sharedStrings.xml><?xml version="1.0" encoding="utf-8"?>
<sst xmlns="http://schemas.openxmlformats.org/spreadsheetml/2006/main" count="318" uniqueCount="50">
  <si>
    <t>Balance Sheet</t>
  </si>
  <si>
    <t>March 31'24</t>
  </si>
  <si>
    <t>March 31'23</t>
  </si>
  <si>
    <t>Non-Current Assets</t>
  </si>
  <si>
    <t>Current Assets</t>
  </si>
  <si>
    <t>Total Assets</t>
  </si>
  <si>
    <t xml:space="preserve"> Non-Current Liabilities</t>
  </si>
  <si>
    <t>Current Liabilities</t>
  </si>
  <si>
    <t>Total Liabilities</t>
  </si>
  <si>
    <t>Equity</t>
  </si>
  <si>
    <t>In Crores</t>
  </si>
  <si>
    <t>P&amp;L Statement</t>
  </si>
  <si>
    <t>Revenue</t>
  </si>
  <si>
    <t>Expenses</t>
  </si>
  <si>
    <t>Operating Profit</t>
  </si>
  <si>
    <t>Taxes</t>
  </si>
  <si>
    <t>Net Profit</t>
  </si>
  <si>
    <t>Cost of Goods Sold</t>
  </si>
  <si>
    <t>Gross Profit</t>
  </si>
  <si>
    <t>OCI</t>
  </si>
  <si>
    <t>Total Income</t>
  </si>
  <si>
    <t>Cash Flows</t>
  </si>
  <si>
    <t>In  Crores</t>
  </si>
  <si>
    <t>Operating Activities</t>
  </si>
  <si>
    <t>Investing Activities</t>
  </si>
  <si>
    <t>Financial Activities</t>
  </si>
  <si>
    <t>Net Cash Flow</t>
  </si>
  <si>
    <t>Operating Profit Margin</t>
  </si>
  <si>
    <t>Net Profit Margin</t>
  </si>
  <si>
    <t>ROE</t>
  </si>
  <si>
    <t>ROCE</t>
  </si>
  <si>
    <t>ROA</t>
  </si>
  <si>
    <t>D/E</t>
  </si>
  <si>
    <t>D/A</t>
  </si>
  <si>
    <t>Margins</t>
  </si>
  <si>
    <t>Return Ratios</t>
  </si>
  <si>
    <t>Leverage Ratios</t>
  </si>
  <si>
    <t>Efficiency Ratios</t>
  </si>
  <si>
    <t>Inventory Turnover Ratio</t>
  </si>
  <si>
    <t>Asset Turnover Ratio</t>
  </si>
  <si>
    <t>Inventories</t>
  </si>
  <si>
    <t>Recievables</t>
  </si>
  <si>
    <t>EPS</t>
  </si>
  <si>
    <t>PE Ratio</t>
  </si>
  <si>
    <t>GEPS</t>
  </si>
  <si>
    <t>PEG Ratio</t>
  </si>
  <si>
    <t>March 31'22</t>
  </si>
  <si>
    <t>In millions</t>
  </si>
  <si>
    <t>in millions</t>
  </si>
  <si>
    <t>In 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</si>
</sst>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24"/>
  <sheetViews>
    <sheetView zoomScale="99" workbookViewId="0">
      <selection activeCell="G8" sqref="G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10</v>
      </c>
      <c r="F2" s="2" t="s">
        <v>21</v>
      </c>
      <c r="G2" s="3"/>
      <c r="H2" s="4" t="s">
        <v>22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3</v>
      </c>
      <c r="C5" s="1">
        <v>42311.61</v>
      </c>
      <c r="D5" s="6">
        <v>40073.25</v>
      </c>
      <c r="F5" s="5" t="s">
        <v>23</v>
      </c>
      <c r="G5" s="1">
        <v>5881.49</v>
      </c>
      <c r="H5" s="6">
        <v>500.05</v>
      </c>
    </row>
    <row r="6" spans="2:12" x14ac:dyDescent="0.3">
      <c r="B6" s="5" t="s">
        <v>4</v>
      </c>
      <c r="C6" s="1">
        <v>5351.86</v>
      </c>
      <c r="D6" s="6">
        <v>5589.89</v>
      </c>
      <c r="F6" s="5" t="s">
        <v>24</v>
      </c>
      <c r="G6" s="1">
        <v>-92.11</v>
      </c>
      <c r="H6" s="6">
        <v>5124.0600000000004</v>
      </c>
    </row>
    <row r="7" spans="2:12" x14ac:dyDescent="0.3">
      <c r="B7" s="5" t="s">
        <v>5</v>
      </c>
      <c r="C7" s="1">
        <v>50488.95</v>
      </c>
      <c r="D7" s="6">
        <v>48172.71</v>
      </c>
      <c r="F7" s="5" t="s">
        <v>25</v>
      </c>
      <c r="G7" s="1">
        <v>-5464.6</v>
      </c>
      <c r="H7" s="6">
        <v>-5349.62</v>
      </c>
    </row>
    <row r="8" spans="2:12" ht="15" thickBot="1" x14ac:dyDescent="0.35">
      <c r="B8" s="5" t="s">
        <v>6</v>
      </c>
      <c r="C8" s="1">
        <v>18389.45</v>
      </c>
      <c r="D8" s="6">
        <v>15904.36</v>
      </c>
      <c r="F8" s="7" t="s">
        <v>26</v>
      </c>
      <c r="G8" s="8">
        <f>G5+G6+G7</f>
        <v>324.77999999999975</v>
      </c>
      <c r="H8" s="9">
        <f>H5+H6+H7</f>
        <v>274.49000000000069</v>
      </c>
    </row>
    <row r="9" spans="2:12" ht="15" thickBot="1" x14ac:dyDescent="0.35">
      <c r="B9" s="5" t="s">
        <v>7</v>
      </c>
      <c r="C9" s="1">
        <v>16198.28</v>
      </c>
      <c r="D9" s="6">
        <v>18455.2</v>
      </c>
      <c r="F9" s="10"/>
      <c r="G9" s="11"/>
      <c r="H9" s="12"/>
    </row>
    <row r="10" spans="2:12" x14ac:dyDescent="0.3">
      <c r="B10" s="5" t="s">
        <v>8</v>
      </c>
      <c r="C10" s="1">
        <v>34701.29</v>
      </c>
      <c r="D10" s="6">
        <v>34473.120000000003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15787.659999999996</v>
      </c>
      <c r="D11" s="9">
        <f>D7-D10</f>
        <v>13699.589999999997</v>
      </c>
      <c r="F11" s="5" t="s">
        <v>27</v>
      </c>
      <c r="G11" s="1">
        <f>C20/C16</f>
        <v>0.11442306596949295</v>
      </c>
      <c r="H11" s="6">
        <f>D20/D16</f>
        <v>0.18846274979748476</v>
      </c>
    </row>
    <row r="12" spans="2:12" ht="15" thickBot="1" x14ac:dyDescent="0.35">
      <c r="F12" s="5" t="s">
        <v>28</v>
      </c>
      <c r="G12" s="1">
        <f>C22/C16</f>
        <v>0.10160782839501953</v>
      </c>
      <c r="H12" s="6">
        <f>D22/D16</f>
        <v>0.14981316333206041</v>
      </c>
    </row>
    <row r="13" spans="2:12" x14ac:dyDescent="0.3">
      <c r="B13" s="2" t="s">
        <v>11</v>
      </c>
      <c r="C13" s="3"/>
      <c r="D13" s="4" t="s">
        <v>10</v>
      </c>
      <c r="F13" s="5" t="s">
        <v>35</v>
      </c>
      <c r="G13" s="1"/>
      <c r="H13" s="6"/>
      <c r="J13" s="2"/>
      <c r="K13" s="3" t="s">
        <v>1</v>
      </c>
      <c r="L13" s="4" t="s">
        <v>2</v>
      </c>
    </row>
    <row r="14" spans="2:12" x14ac:dyDescent="0.3">
      <c r="B14" s="5"/>
      <c r="C14" s="1"/>
      <c r="D14" s="6"/>
      <c r="F14" s="5" t="s">
        <v>29</v>
      </c>
      <c r="G14" s="1">
        <f>C22/C11</f>
        <v>0.14124069051398372</v>
      </c>
      <c r="H14" s="6">
        <f>D22/D11</f>
        <v>0.23853998550321587</v>
      </c>
      <c r="J14" s="5" t="s">
        <v>40</v>
      </c>
      <c r="K14" s="1">
        <v>2119.5300000000002</v>
      </c>
      <c r="L14" s="6">
        <v>2457.9499999999998</v>
      </c>
    </row>
    <row r="15" spans="2:12" x14ac:dyDescent="0.3">
      <c r="B15" s="5"/>
      <c r="C15" s="1" t="s">
        <v>1</v>
      </c>
      <c r="D15" s="6" t="s">
        <v>2</v>
      </c>
      <c r="F15" s="5" t="s">
        <v>30</v>
      </c>
      <c r="G15" s="1">
        <f>C20/(C7-C9)</f>
        <v>7.3229831904713438E-2</v>
      </c>
      <c r="H15" s="6">
        <f>D20/(D7-D9)</f>
        <v>0.13833494125180745</v>
      </c>
      <c r="J15" s="5" t="s">
        <v>41</v>
      </c>
      <c r="K15" s="1">
        <v>1582.37</v>
      </c>
      <c r="L15" s="6">
        <v>1904.34</v>
      </c>
    </row>
    <row r="16" spans="2:12" x14ac:dyDescent="0.3">
      <c r="B16" s="5" t="s">
        <v>12</v>
      </c>
      <c r="C16" s="1">
        <v>21945.75</v>
      </c>
      <c r="D16" s="6">
        <v>21813.17</v>
      </c>
      <c r="F16" s="5" t="s">
        <v>31</v>
      </c>
      <c r="G16" s="1">
        <f>C22/C7</f>
        <v>4.4165307458364646E-2</v>
      </c>
      <c r="H16" s="6">
        <f>D22/D7</f>
        <v>6.783716340641828E-2</v>
      </c>
      <c r="J16" s="5" t="s">
        <v>42</v>
      </c>
      <c r="K16" s="1">
        <v>6.97</v>
      </c>
      <c r="L16" s="6">
        <v>10.220000000000001</v>
      </c>
    </row>
    <row r="17" spans="2:12" x14ac:dyDescent="0.3">
      <c r="B17" s="5" t="s">
        <v>17</v>
      </c>
      <c r="C17" s="1"/>
      <c r="D17" s="6"/>
      <c r="F17" s="5" t="s">
        <v>36</v>
      </c>
      <c r="G17" s="1"/>
      <c r="H17" s="6"/>
      <c r="J17" s="5" t="s">
        <v>44</v>
      </c>
      <c r="K17" s="1">
        <f>(K16-L16)/K16</f>
        <v>-0.46628407460545207</v>
      </c>
      <c r="L17" s="6"/>
    </row>
    <row r="18" spans="2:12" x14ac:dyDescent="0.3">
      <c r="B18" s="5" t="s">
        <v>18</v>
      </c>
      <c r="C18" s="1">
        <f>C16-C17</f>
        <v>21945.75</v>
      </c>
      <c r="D18" s="6">
        <f>D16-D17</f>
        <v>21813.17</v>
      </c>
      <c r="F18" s="5" t="s">
        <v>32</v>
      </c>
      <c r="G18" s="1">
        <f>C10/C11</f>
        <v>2.1980008436969132</v>
      </c>
      <c r="H18" s="6">
        <f>D10/D11</f>
        <v>2.5163614385540014</v>
      </c>
      <c r="J18" s="5" t="s">
        <v>43</v>
      </c>
      <c r="K18" s="1">
        <f>400/K16</f>
        <v>57.388809182209471</v>
      </c>
      <c r="L18" s="6"/>
    </row>
    <row r="19" spans="2:12" ht="15" thickBot="1" x14ac:dyDescent="0.35">
      <c r="B19" s="5" t="s">
        <v>13</v>
      </c>
      <c r="C19" s="1">
        <v>19638.64</v>
      </c>
      <c r="D19" s="6">
        <v>19510.47</v>
      </c>
      <c r="F19" s="5" t="s">
        <v>33</v>
      </c>
      <c r="G19" s="1">
        <f>C10/C7</f>
        <v>0.68730464784868772</v>
      </c>
      <c r="H19" s="6">
        <f>D10/D7</f>
        <v>0.71561512732001176</v>
      </c>
      <c r="J19" s="7" t="s">
        <v>45</v>
      </c>
      <c r="K19" s="8">
        <f>K18/K17</f>
        <v>-123.07692307692305</v>
      </c>
      <c r="L19" s="9"/>
    </row>
    <row r="20" spans="2:12" x14ac:dyDescent="0.3">
      <c r="B20" s="5" t="s">
        <v>14</v>
      </c>
      <c r="C20" s="1">
        <v>2511.1</v>
      </c>
      <c r="D20" s="6">
        <v>4110.97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v>281.24</v>
      </c>
      <c r="D21" s="6">
        <v>843.07</v>
      </c>
      <c r="F21" s="5" t="s">
        <v>38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16</v>
      </c>
      <c r="C22" s="1">
        <f>C20-C21</f>
        <v>2229.8599999999997</v>
      </c>
      <c r="D22" s="6">
        <f>D20-D21</f>
        <v>3267.9</v>
      </c>
      <c r="F22" s="7" t="s">
        <v>39</v>
      </c>
      <c r="G22" s="8">
        <f>2*C16/(C7+D7)</f>
        <v>0.44486885787245012</v>
      </c>
      <c r="H22" s="9"/>
    </row>
    <row r="23" spans="2:12" x14ac:dyDescent="0.3">
      <c r="B23" s="5" t="s">
        <v>19</v>
      </c>
      <c r="C23" s="1">
        <v>488.98</v>
      </c>
      <c r="D23" s="6">
        <v>111.07</v>
      </c>
    </row>
    <row r="24" spans="2:12" ht="15" thickBot="1" x14ac:dyDescent="0.35">
      <c r="B24" s="7" t="s">
        <v>20</v>
      </c>
      <c r="C24" s="8">
        <f>C22+C23</f>
        <v>2718.8399999999997</v>
      </c>
      <c r="D24" s="9">
        <f>D22+D23</f>
        <v>3378.9700000000003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7204-A37A-40F5-9D50-F0B41709C496}">
  <dimension ref="B1:L24"/>
  <sheetViews>
    <sheetView zoomScale="99" workbookViewId="0">
      <selection activeCell="H8" sqref="H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10</v>
      </c>
      <c r="F2" s="2" t="s">
        <v>21</v>
      </c>
      <c r="G2" s="3"/>
      <c r="H2" s="4" t="s">
        <v>22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3</v>
      </c>
      <c r="C5" s="1">
        <v>27536</v>
      </c>
      <c r="D5" s="6">
        <v>24720</v>
      </c>
      <c r="F5" s="5" t="s">
        <v>23</v>
      </c>
      <c r="G5" s="1">
        <v>-2482</v>
      </c>
      <c r="H5" s="6">
        <v>5003</v>
      </c>
    </row>
    <row r="6" spans="2:12" x14ac:dyDescent="0.3">
      <c r="B6" s="5" t="s">
        <v>4</v>
      </c>
      <c r="C6" s="1">
        <v>13847</v>
      </c>
      <c r="D6" s="6">
        <v>3944</v>
      </c>
      <c r="F6" s="5" t="s">
        <v>24</v>
      </c>
      <c r="G6" s="1">
        <v>-7393</v>
      </c>
      <c r="H6" s="6">
        <v>-2491</v>
      </c>
    </row>
    <row r="7" spans="2:12" x14ac:dyDescent="0.3">
      <c r="B7" s="5" t="s">
        <v>5</v>
      </c>
      <c r="C7" s="1">
        <f>C5+C6</f>
        <v>41383</v>
      </c>
      <c r="D7" s="6">
        <f>D5+D6</f>
        <v>28664</v>
      </c>
      <c r="F7" s="5" t="s">
        <v>25</v>
      </c>
      <c r="G7" s="1">
        <v>9754</v>
      </c>
      <c r="H7" s="6">
        <v>-2013</v>
      </c>
    </row>
    <row r="8" spans="2:12" ht="15" thickBot="1" x14ac:dyDescent="0.35">
      <c r="B8" s="5" t="s">
        <v>6</v>
      </c>
      <c r="C8" s="1">
        <v>14411</v>
      </c>
      <c r="D8" s="6">
        <v>17224</v>
      </c>
      <c r="F8" s="7" t="s">
        <v>26</v>
      </c>
      <c r="G8" s="8">
        <f>G5+G6+G7</f>
        <v>-121</v>
      </c>
      <c r="H8" s="9">
        <f>H5+H6+H7</f>
        <v>499</v>
      </c>
    </row>
    <row r="9" spans="2:12" ht="15" thickBot="1" x14ac:dyDescent="0.35">
      <c r="B9" s="5" t="s">
        <v>7</v>
      </c>
      <c r="C9" s="1">
        <v>19474</v>
      </c>
      <c r="D9" s="6">
        <v>5784</v>
      </c>
      <c r="F9" s="10"/>
      <c r="G9" s="11"/>
      <c r="H9" s="12"/>
    </row>
    <row r="10" spans="2:12" x14ac:dyDescent="0.3">
      <c r="B10" s="5" t="s">
        <v>8</v>
      </c>
      <c r="C10" s="1">
        <f>C8+C9</f>
        <v>33885</v>
      </c>
      <c r="D10" s="6">
        <f>D8+D9</f>
        <v>23008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7498</v>
      </c>
      <c r="D11" s="9">
        <f>D7-D10</f>
        <v>5656</v>
      </c>
      <c r="F11" s="5" t="s">
        <v>27</v>
      </c>
      <c r="G11" s="1">
        <f>C20/C16</f>
        <v>-3.7982517212036819E-2</v>
      </c>
      <c r="H11" s="6">
        <f>D20/D16</f>
        <v>-3.9600428112736355E-2</v>
      </c>
    </row>
    <row r="12" spans="2:12" ht="15" thickBot="1" x14ac:dyDescent="0.35">
      <c r="F12" s="5" t="s">
        <v>28</v>
      </c>
      <c r="G12" s="1">
        <f>C22/C16</f>
        <v>-4.2237177999535858E-2</v>
      </c>
      <c r="H12" s="6">
        <f>D22/D16</f>
        <v>-3.9005827090022593E-2</v>
      </c>
    </row>
    <row r="13" spans="2:12" x14ac:dyDescent="0.3">
      <c r="B13" s="2" t="s">
        <v>11</v>
      </c>
      <c r="C13" s="3"/>
      <c r="D13" s="4" t="s">
        <v>10</v>
      </c>
      <c r="F13" s="5" t="s">
        <v>35</v>
      </c>
      <c r="G13" s="1"/>
      <c r="H13" s="6"/>
      <c r="J13" s="2"/>
      <c r="K13" s="3" t="s">
        <v>1</v>
      </c>
      <c r="L13" s="4" t="s">
        <v>2</v>
      </c>
    </row>
    <row r="14" spans="2:12" x14ac:dyDescent="0.3">
      <c r="B14" s="5"/>
      <c r="C14" s="1"/>
      <c r="D14" s="6"/>
      <c r="F14" s="5" t="s">
        <v>29</v>
      </c>
      <c r="G14" s="1">
        <f>C22/C11</f>
        <v>-7.281941851160309E-2</v>
      </c>
      <c r="H14" s="6">
        <f>D22/D11</f>
        <v>-5.7991513437057989E-2</v>
      </c>
      <c r="J14" s="5" t="s">
        <v>40</v>
      </c>
      <c r="K14" s="1">
        <v>3385</v>
      </c>
      <c r="L14" s="6">
        <v>1282</v>
      </c>
    </row>
    <row r="15" spans="2:12" x14ac:dyDescent="0.3">
      <c r="B15" s="5"/>
      <c r="C15" s="1" t="s">
        <v>1</v>
      </c>
      <c r="D15" s="6" t="s">
        <v>2</v>
      </c>
      <c r="F15" s="5" t="s">
        <v>30</v>
      </c>
      <c r="G15" s="1">
        <f>C20/(C7-C9)</f>
        <v>-2.2410881372951753E-2</v>
      </c>
      <c r="H15" s="6">
        <f>D20/(D7-D9)</f>
        <v>-1.4554195804195804E-2</v>
      </c>
      <c r="J15" s="5" t="s">
        <v>41</v>
      </c>
      <c r="K15" s="1">
        <f>3+2419</f>
        <v>2422</v>
      </c>
      <c r="L15" s="6">
        <f>8+1112</f>
        <v>1120</v>
      </c>
    </row>
    <row r="16" spans="2:12" x14ac:dyDescent="0.3">
      <c r="B16" s="5" t="s">
        <v>12</v>
      </c>
      <c r="C16" s="1">
        <v>12927</v>
      </c>
      <c r="D16" s="6">
        <v>8409</v>
      </c>
      <c r="F16" s="5" t="s">
        <v>31</v>
      </c>
      <c r="G16" s="1">
        <f>C22/C7</f>
        <v>-1.3193823550733393E-2</v>
      </c>
      <c r="H16" s="6">
        <f>D22/D7</f>
        <v>-1.1442924923248674E-2</v>
      </c>
      <c r="J16" s="5" t="s">
        <v>42</v>
      </c>
      <c r="K16" s="1">
        <v>-3.84</v>
      </c>
      <c r="L16" s="6">
        <v>-2.4700000000000002</v>
      </c>
    </row>
    <row r="17" spans="2:12" x14ac:dyDescent="0.3">
      <c r="B17" s="5" t="s">
        <v>17</v>
      </c>
      <c r="C17" s="1">
        <v>13682</v>
      </c>
      <c r="D17" s="6">
        <v>4280</v>
      </c>
      <c r="F17" s="5" t="s">
        <v>36</v>
      </c>
      <c r="G17" s="1"/>
      <c r="H17" s="6"/>
      <c r="J17" s="5" t="s">
        <v>44</v>
      </c>
      <c r="K17" s="1">
        <f>(K16-L16)/K16</f>
        <v>0.35677083333333326</v>
      </c>
      <c r="L17" s="6"/>
    </row>
    <row r="18" spans="2:12" x14ac:dyDescent="0.3">
      <c r="B18" s="5" t="s">
        <v>18</v>
      </c>
      <c r="C18" s="1">
        <f>C16-C17</f>
        <v>-755</v>
      </c>
      <c r="D18" s="6">
        <f>D16-D17</f>
        <v>4129</v>
      </c>
      <c r="F18" s="5" t="s">
        <v>32</v>
      </c>
      <c r="G18" s="1">
        <f>C10/C11</f>
        <v>4.5192051213656974</v>
      </c>
      <c r="H18" s="6">
        <f>D10/D11</f>
        <v>4.0678925035360676</v>
      </c>
      <c r="J18" s="5" t="s">
        <v>43</v>
      </c>
      <c r="K18" s="1">
        <f>1740/K16</f>
        <v>-453.125</v>
      </c>
      <c r="L18" s="6"/>
    </row>
    <row r="19" spans="2:12" ht="15" thickBot="1" x14ac:dyDescent="0.35">
      <c r="B19" s="5" t="s">
        <v>13</v>
      </c>
      <c r="C19" s="1">
        <f>13347-C17</f>
        <v>-335</v>
      </c>
      <c r="D19" s="6">
        <f>8675-D17</f>
        <v>4395</v>
      </c>
      <c r="F19" s="5" t="s">
        <v>33</v>
      </c>
      <c r="G19" s="1">
        <f>C10/C7</f>
        <v>0.81881448904139376</v>
      </c>
      <c r="H19" s="6">
        <f>D10/D7</f>
        <v>0.8026793190064192</v>
      </c>
      <c r="J19" s="7" t="s">
        <v>45</v>
      </c>
      <c r="K19" s="8">
        <f>K18/K17</f>
        <v>-1270.0729927007301</v>
      </c>
      <c r="L19" s="9"/>
    </row>
    <row r="20" spans="2:12" x14ac:dyDescent="0.3">
      <c r="B20" s="5" t="s">
        <v>14</v>
      </c>
      <c r="C20" s="1">
        <v>-491</v>
      </c>
      <c r="D20" s="6">
        <v>-333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v>55</v>
      </c>
      <c r="D21" s="6">
        <v>-5</v>
      </c>
      <c r="F21" s="5" t="s">
        <v>38</v>
      </c>
      <c r="G21" s="1">
        <f>C17/K14</f>
        <v>4.0419497784342688</v>
      </c>
      <c r="H21" s="6">
        <f>D17/L14</f>
        <v>3.3385335413416537</v>
      </c>
    </row>
    <row r="22" spans="2:12" ht="15" thickBot="1" x14ac:dyDescent="0.35">
      <c r="B22" s="5" t="s">
        <v>16</v>
      </c>
      <c r="C22" s="1">
        <f>C20-C21</f>
        <v>-546</v>
      </c>
      <c r="D22" s="6">
        <f>D20-D21</f>
        <v>-328</v>
      </c>
      <c r="F22" s="7" t="s">
        <v>39</v>
      </c>
      <c r="G22" s="8">
        <f>2*C16/(C7+D7)</f>
        <v>0.36909503618998674</v>
      </c>
      <c r="H22" s="9"/>
    </row>
    <row r="23" spans="2:12" x14ac:dyDescent="0.3">
      <c r="B23" s="5" t="s">
        <v>19</v>
      </c>
      <c r="C23" s="1">
        <v>50</v>
      </c>
      <c r="D23" s="6">
        <v>-52</v>
      </c>
    </row>
    <row r="24" spans="2:12" ht="15" thickBot="1" x14ac:dyDescent="0.35">
      <c r="B24" s="7" t="s">
        <v>20</v>
      </c>
      <c r="C24" s="8">
        <f>C22+C23</f>
        <v>-496</v>
      </c>
      <c r="D24" s="9">
        <f>D22+D23</f>
        <v>-380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028C-3EF7-443B-A024-98934E67595F}">
  <dimension ref="B1:L24"/>
  <sheetViews>
    <sheetView zoomScale="99" workbookViewId="0">
      <selection activeCell="G12" sqref="G12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10</v>
      </c>
      <c r="F2" s="2" t="s">
        <v>21</v>
      </c>
      <c r="G2" s="3"/>
      <c r="H2" s="4" t="s">
        <v>22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46</v>
      </c>
      <c r="F4" s="5"/>
      <c r="G4" s="1" t="s">
        <v>2</v>
      </c>
      <c r="H4" s="6" t="s">
        <v>46</v>
      </c>
    </row>
    <row r="5" spans="2:12" x14ac:dyDescent="0.3">
      <c r="B5" s="5" t="s">
        <v>3</v>
      </c>
      <c r="C5" s="1">
        <v>305779.43</v>
      </c>
      <c r="D5" s="6">
        <v>307099.08</v>
      </c>
      <c r="F5" s="5" t="s">
        <v>23</v>
      </c>
      <c r="G5" s="1">
        <v>35398.57</v>
      </c>
      <c r="H5" s="6">
        <v>37898.21</v>
      </c>
    </row>
    <row r="6" spans="2:12" x14ac:dyDescent="0.3">
      <c r="B6" s="5" t="s">
        <v>4</v>
      </c>
      <c r="C6" s="1">
        <v>64525.34</v>
      </c>
      <c r="D6" s="6">
        <v>51200.39</v>
      </c>
      <c r="F6" s="5" t="s">
        <v>24</v>
      </c>
      <c r="G6" s="1">
        <v>-14062.76</v>
      </c>
      <c r="H6" s="6">
        <v>-18080.05</v>
      </c>
    </row>
    <row r="7" spans="2:12" x14ac:dyDescent="0.3">
      <c r="B7" s="5" t="s">
        <v>5</v>
      </c>
      <c r="C7" s="1">
        <v>382387.26</v>
      </c>
      <c r="D7" s="6">
        <v>371140.44</v>
      </c>
      <c r="F7" s="5" t="s">
        <v>25</v>
      </c>
      <c r="G7" s="1">
        <v>-21450.16</v>
      </c>
      <c r="H7" s="6">
        <v>-19877.37</v>
      </c>
    </row>
    <row r="8" spans="2:12" ht="15" thickBot="1" x14ac:dyDescent="0.35">
      <c r="B8" s="5" t="s">
        <v>6</v>
      </c>
      <c r="C8" s="1">
        <v>170049.43</v>
      </c>
      <c r="D8" s="6">
        <v>174549.81</v>
      </c>
      <c r="F8" s="7" t="s">
        <v>26</v>
      </c>
      <c r="G8" s="8">
        <f>G5+G6+G7</f>
        <v>-114.35000000000218</v>
      </c>
      <c r="H8" s="9">
        <f>H5+H6+H7</f>
        <v>-59.209999999999127</v>
      </c>
    </row>
    <row r="9" spans="2:12" ht="15" thickBot="1" x14ac:dyDescent="0.35">
      <c r="B9" s="5" t="s">
        <v>7</v>
      </c>
      <c r="C9" s="1">
        <v>70831.08</v>
      </c>
      <c r="D9" s="6">
        <v>65949.72</v>
      </c>
      <c r="F9" s="10"/>
      <c r="G9" s="11"/>
      <c r="H9" s="12"/>
    </row>
    <row r="10" spans="2:12" x14ac:dyDescent="0.3">
      <c r="B10" s="5" t="s">
        <v>8</v>
      </c>
      <c r="C10" s="1">
        <f>C8+C9+2616.87</f>
        <v>243497.38</v>
      </c>
      <c r="D10" s="6">
        <f>D8+D9+1973.39</f>
        <v>242472.92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138889.88</v>
      </c>
      <c r="D11" s="9">
        <f>D7-D10</f>
        <v>128667.51999999999</v>
      </c>
      <c r="F11" s="5" t="s">
        <v>27</v>
      </c>
      <c r="G11" s="1">
        <f>C20/C16</f>
        <v>0.14349187455779391</v>
      </c>
      <c r="H11" s="6">
        <f>D20/D16</f>
        <v>0.15491288713732768</v>
      </c>
    </row>
    <row r="12" spans="2:12" ht="15" thickBot="1" x14ac:dyDescent="0.35">
      <c r="F12" s="5" t="s">
        <v>28</v>
      </c>
      <c r="G12" s="1">
        <f>C22/C16</f>
        <v>0.10252967949030198</v>
      </c>
      <c r="H12" s="6">
        <f>D22/D16</f>
        <v>0.13051730962633484</v>
      </c>
    </row>
    <row r="13" spans="2:12" x14ac:dyDescent="0.3">
      <c r="B13" s="2" t="s">
        <v>11</v>
      </c>
      <c r="C13" s="3"/>
      <c r="D13" s="4" t="s">
        <v>10</v>
      </c>
      <c r="F13" s="5" t="s">
        <v>35</v>
      </c>
      <c r="G13" s="1"/>
      <c r="H13" s="6"/>
      <c r="J13" s="2"/>
      <c r="K13" s="3" t="s">
        <v>2</v>
      </c>
      <c r="L13" s="4" t="s">
        <v>46</v>
      </c>
    </row>
    <row r="14" spans="2:12" x14ac:dyDescent="0.3">
      <c r="B14" s="5"/>
      <c r="C14" s="1"/>
      <c r="D14" s="6"/>
      <c r="F14" s="5" t="s">
        <v>29</v>
      </c>
      <c r="G14" s="1">
        <f>C22/C11</f>
        <v>0.12381557245207497</v>
      </c>
      <c r="H14" s="6">
        <f>D22/D11</f>
        <v>0.12654312448083246</v>
      </c>
      <c r="J14" s="5" t="s">
        <v>40</v>
      </c>
      <c r="K14" s="1">
        <v>13679.75</v>
      </c>
      <c r="L14" s="6">
        <v>9691</v>
      </c>
    </row>
    <row r="15" spans="2:12" x14ac:dyDescent="0.3">
      <c r="B15" s="5"/>
      <c r="C15" s="1" t="s">
        <v>2</v>
      </c>
      <c r="D15" s="6" t="s">
        <v>46</v>
      </c>
      <c r="F15" s="5" t="s">
        <v>30</v>
      </c>
      <c r="G15" s="1">
        <f>C20/(C7-C9)</f>
        <v>7.7247994246174151E-2</v>
      </c>
      <c r="H15" s="6">
        <f>D20/(D7-D9)</f>
        <v>6.3322141643101085E-2</v>
      </c>
      <c r="J15" s="5" t="s">
        <v>41</v>
      </c>
      <c r="K15" s="1">
        <f>2399.78+24741.15</f>
        <v>27140.93</v>
      </c>
      <c r="L15" s="6">
        <v>24747.45</v>
      </c>
    </row>
    <row r="16" spans="2:12" x14ac:dyDescent="0.3">
      <c r="B16" s="5" t="s">
        <v>12</v>
      </c>
      <c r="C16" s="1">
        <v>167724.41</v>
      </c>
      <c r="D16" s="6">
        <v>124749.66</v>
      </c>
      <c r="F16" s="5" t="s">
        <v>31</v>
      </c>
      <c r="G16" s="1">
        <f>C22/C7</f>
        <v>4.4972026526197549E-2</v>
      </c>
      <c r="H16" s="6">
        <f>D22/D7</f>
        <v>4.3870158692488483E-2</v>
      </c>
      <c r="J16" s="5" t="s">
        <v>42</v>
      </c>
      <c r="K16" s="1">
        <v>18.34</v>
      </c>
      <c r="L16" s="6">
        <v>15.33</v>
      </c>
    </row>
    <row r="17" spans="2:12" x14ac:dyDescent="0.3">
      <c r="B17" s="5" t="s">
        <v>17</v>
      </c>
      <c r="C17" s="1"/>
      <c r="D17" s="6"/>
      <c r="F17" s="5" t="s">
        <v>36</v>
      </c>
      <c r="G17" s="1"/>
      <c r="H17" s="6"/>
      <c r="J17" s="5" t="s">
        <v>44</v>
      </c>
      <c r="K17" s="1">
        <f>(K16-L16)/K16</f>
        <v>0.16412213740458015</v>
      </c>
      <c r="L17" s="6"/>
    </row>
    <row r="18" spans="2:12" x14ac:dyDescent="0.3">
      <c r="B18" s="5" t="s">
        <v>18</v>
      </c>
      <c r="C18" s="1">
        <f>C16-C17</f>
        <v>167724.41</v>
      </c>
      <c r="D18" s="6">
        <f>D16-D17</f>
        <v>124749.66</v>
      </c>
      <c r="F18" s="5" t="s">
        <v>32</v>
      </c>
      <c r="G18" s="1">
        <f>C10/C11</f>
        <v>1.7531686253886891</v>
      </c>
      <c r="H18" s="6">
        <f>D10/D11</f>
        <v>1.8844920613998002</v>
      </c>
      <c r="J18" s="5" t="s">
        <v>43</v>
      </c>
      <c r="K18" s="1">
        <f>360/K16</f>
        <v>19.629225736095965</v>
      </c>
      <c r="L18" s="6"/>
    </row>
    <row r="19" spans="2:12" ht="15" thickBot="1" x14ac:dyDescent="0.35">
      <c r="B19" s="5" t="s">
        <v>13</v>
      </c>
      <c r="C19" s="1">
        <v>143657.32</v>
      </c>
      <c r="D19" s="6">
        <v>105424.33</v>
      </c>
      <c r="F19" s="5" t="s">
        <v>33</v>
      </c>
      <c r="G19" s="1">
        <f>C10/C7</f>
        <v>0.63678214593237237</v>
      </c>
      <c r="H19" s="6">
        <f>D10/D7</f>
        <v>0.65331851198969315</v>
      </c>
      <c r="J19" s="7" t="s">
        <v>45</v>
      </c>
      <c r="K19" s="8">
        <f>K18/K17</f>
        <v>119.60132890365449</v>
      </c>
      <c r="L19" s="9"/>
    </row>
    <row r="20" spans="2:12" x14ac:dyDescent="0.3">
      <c r="B20" s="5" t="s">
        <v>14</v>
      </c>
      <c r="C20" s="1">
        <f>C18-C19</f>
        <v>24067.089999999997</v>
      </c>
      <c r="D20" s="6">
        <f>D18-D19</f>
        <v>19325.330000000002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v>6279.27</v>
      </c>
      <c r="D21" s="6">
        <v>4457.7700000000004</v>
      </c>
      <c r="F21" s="5" t="s">
        <v>38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16</v>
      </c>
      <c r="C22" s="1">
        <v>17196.73</v>
      </c>
      <c r="D22" s="6">
        <v>16281.99</v>
      </c>
      <c r="F22" s="7" t="s">
        <v>39</v>
      </c>
      <c r="G22" s="8">
        <f>2*C16/(C7+D7)</f>
        <v>0.44517118614219492</v>
      </c>
      <c r="H22" s="9"/>
    </row>
    <row r="23" spans="2:12" x14ac:dyDescent="0.3">
      <c r="B23" s="5" t="s">
        <v>19</v>
      </c>
      <c r="C23" s="1">
        <v>-75.7</v>
      </c>
      <c r="D23" s="6">
        <v>-87.65</v>
      </c>
    </row>
    <row r="24" spans="2:12" ht="15" thickBot="1" x14ac:dyDescent="0.35">
      <c r="B24" s="7" t="s">
        <v>20</v>
      </c>
      <c r="C24" s="8">
        <f>C22+C23</f>
        <v>17121.03</v>
      </c>
      <c r="D24" s="9">
        <f>D22+D23</f>
        <v>16194.34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A4FA-B58D-479C-800A-09A926173BAA}">
  <dimension ref="B1:L24"/>
  <sheetViews>
    <sheetView zoomScale="99" workbookViewId="0">
      <selection activeCell="G8" sqref="G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10</v>
      </c>
      <c r="F2" s="2" t="s">
        <v>21</v>
      </c>
      <c r="G2" s="3"/>
      <c r="H2" s="4" t="s">
        <v>22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46</v>
      </c>
      <c r="F4" s="5"/>
      <c r="G4" s="1" t="s">
        <v>2</v>
      </c>
      <c r="H4" s="6" t="s">
        <v>46</v>
      </c>
    </row>
    <row r="5" spans="2:12" x14ac:dyDescent="0.3">
      <c r="B5" s="5" t="s">
        <v>3</v>
      </c>
      <c r="C5" s="1">
        <v>214066.78</v>
      </c>
      <c r="D5" s="6">
        <v>217793.25</v>
      </c>
      <c r="F5" s="5" t="s">
        <v>23</v>
      </c>
      <c r="G5" s="1">
        <v>35268.25</v>
      </c>
      <c r="H5" s="6">
        <v>24640.2</v>
      </c>
    </row>
    <row r="6" spans="2:12" x14ac:dyDescent="0.3">
      <c r="B6" s="5" t="s">
        <v>4</v>
      </c>
      <c r="C6" s="1">
        <v>21943.02</v>
      </c>
      <c r="D6" s="6">
        <v>20111.349999999999</v>
      </c>
      <c r="F6" s="5" t="s">
        <v>24</v>
      </c>
      <c r="G6" s="1">
        <v>-4315.83</v>
      </c>
      <c r="H6" s="6">
        <v>2188.54</v>
      </c>
    </row>
    <row r="7" spans="2:12" x14ac:dyDescent="0.3">
      <c r="B7" s="5" t="s">
        <v>5</v>
      </c>
      <c r="C7" s="1">
        <v>246293.56</v>
      </c>
      <c r="D7" s="6">
        <v>247877.64</v>
      </c>
      <c r="F7" s="5" t="s">
        <v>25</v>
      </c>
      <c r="G7" s="1">
        <v>-29263.65</v>
      </c>
      <c r="H7" s="6">
        <v>-28801.32</v>
      </c>
    </row>
    <row r="8" spans="2:12" ht="15" thickBot="1" x14ac:dyDescent="0.35">
      <c r="B8" s="5" t="s">
        <v>6</v>
      </c>
      <c r="C8" s="1">
        <v>128923.42</v>
      </c>
      <c r="D8" s="6">
        <v>12992.16</v>
      </c>
      <c r="F8" s="7" t="s">
        <v>26</v>
      </c>
      <c r="G8" s="8">
        <f>G5+G6+G7</f>
        <v>1688.7699999999968</v>
      </c>
      <c r="H8" s="9">
        <f>H5+H6+H7</f>
        <v>-1972.5799999999981</v>
      </c>
    </row>
    <row r="9" spans="2:12" ht="15" thickBot="1" x14ac:dyDescent="0.35">
      <c r="B9" s="5" t="s">
        <v>7</v>
      </c>
      <c r="C9" s="1">
        <v>24373.66</v>
      </c>
      <c r="D9" s="6">
        <v>32279.37</v>
      </c>
      <c r="F9" s="10"/>
      <c r="G9" s="11"/>
      <c r="H9" s="12"/>
    </row>
    <row r="10" spans="2:12" x14ac:dyDescent="0.3">
      <c r="B10" s="5" t="s">
        <v>8</v>
      </c>
      <c r="C10" s="1">
        <f>C8+C9+10163.52</f>
        <v>163460.59999999998</v>
      </c>
      <c r="D10" s="6">
        <f>D8+D9+9514.54</f>
        <v>54786.07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82832.960000000021</v>
      </c>
      <c r="D11" s="9">
        <f>D7-D10</f>
        <v>193091.57</v>
      </c>
      <c r="F11" s="5" t="s">
        <v>27</v>
      </c>
      <c r="G11" s="1">
        <f>C20/C16</f>
        <v>0.37449233783363101</v>
      </c>
      <c r="H11" s="6">
        <f>D20/D16</f>
        <v>0.39134592013817127</v>
      </c>
    </row>
    <row r="12" spans="2:12" ht="15" thickBot="1" x14ac:dyDescent="0.35">
      <c r="F12" s="5" t="s">
        <v>28</v>
      </c>
      <c r="G12" s="1">
        <f>C22/C16</f>
        <v>0.33355805453655113</v>
      </c>
      <c r="H12" s="6">
        <f>D22/D16</f>
        <v>0.40376541216703465</v>
      </c>
    </row>
    <row r="13" spans="2:12" x14ac:dyDescent="0.3">
      <c r="B13" s="2" t="s">
        <v>11</v>
      </c>
      <c r="C13" s="3"/>
      <c r="D13" s="4" t="s">
        <v>10</v>
      </c>
      <c r="F13" s="5" t="s">
        <v>35</v>
      </c>
      <c r="G13" s="1"/>
      <c r="H13" s="6"/>
      <c r="J13" s="2"/>
      <c r="K13" s="3" t="s">
        <v>2</v>
      </c>
      <c r="L13" s="4" t="s">
        <v>46</v>
      </c>
    </row>
    <row r="14" spans="2:12" x14ac:dyDescent="0.3">
      <c r="B14" s="5"/>
      <c r="C14" s="1"/>
      <c r="D14" s="6"/>
      <c r="F14" s="5" t="s">
        <v>29</v>
      </c>
      <c r="G14" s="1">
        <f>C22/C11</f>
        <v>0.18510771557602188</v>
      </c>
      <c r="H14" s="6">
        <f>D22/D11</f>
        <v>8.8526702641653382E-2</v>
      </c>
      <c r="J14" s="5" t="s">
        <v>40</v>
      </c>
      <c r="K14" s="1">
        <v>1323.55</v>
      </c>
      <c r="L14" s="6">
        <v>1352.6</v>
      </c>
    </row>
    <row r="15" spans="2:12" x14ac:dyDescent="0.3">
      <c r="B15" s="5"/>
      <c r="C15" s="1" t="s">
        <v>2</v>
      </c>
      <c r="D15" s="6" t="s">
        <v>46</v>
      </c>
      <c r="F15" s="5" t="s">
        <v>30</v>
      </c>
      <c r="G15" s="1">
        <f>C20/(C7-C9)</f>
        <v>7.7571637334011054E-2</v>
      </c>
      <c r="H15" s="6">
        <f>D20/(D7-D9)</f>
        <v>7.6846488610506941E-2</v>
      </c>
      <c r="J15" s="5" t="s">
        <v>41</v>
      </c>
      <c r="K15" s="1">
        <f>695.57+12381.52</f>
        <v>13077.09</v>
      </c>
      <c r="L15" s="6">
        <v>8836.81</v>
      </c>
    </row>
    <row r="16" spans="2:12" x14ac:dyDescent="0.3">
      <c r="B16" s="5" t="s">
        <v>12</v>
      </c>
      <c r="C16" s="1">
        <v>45968.07</v>
      </c>
      <c r="D16" s="6">
        <v>42335.87</v>
      </c>
      <c r="F16" s="5" t="s">
        <v>31</v>
      </c>
      <c r="G16" s="1">
        <f>C22/C7</f>
        <v>6.2255058556951307E-2</v>
      </c>
      <c r="H16" s="6">
        <f>D22/D7</f>
        <v>6.8960475821861128E-2</v>
      </c>
      <c r="J16" s="5" t="s">
        <v>42</v>
      </c>
      <c r="K16" s="1">
        <v>21.61</v>
      </c>
      <c r="L16" s="6">
        <v>25.25</v>
      </c>
    </row>
    <row r="17" spans="2:12" x14ac:dyDescent="0.3">
      <c r="B17" s="5" t="s">
        <v>17</v>
      </c>
      <c r="C17" s="1"/>
      <c r="D17" s="6"/>
      <c r="F17" s="5" t="s">
        <v>36</v>
      </c>
      <c r="G17" s="1"/>
      <c r="H17" s="6"/>
      <c r="J17" s="5" t="s">
        <v>44</v>
      </c>
      <c r="K17" s="1">
        <f>(K16-L16)/K16</f>
        <v>-0.16844053678852386</v>
      </c>
      <c r="L17" s="6"/>
    </row>
    <row r="18" spans="2:12" x14ac:dyDescent="0.3">
      <c r="B18" s="5" t="s">
        <v>18</v>
      </c>
      <c r="C18" s="1">
        <f>C16-C17</f>
        <v>45968.07</v>
      </c>
      <c r="D18" s="6">
        <f>D16-D17</f>
        <v>42335.87</v>
      </c>
      <c r="F18" s="5" t="s">
        <v>32</v>
      </c>
      <c r="G18" s="1">
        <f>C10/C11</f>
        <v>1.9733762985169181</v>
      </c>
      <c r="H18" s="6">
        <f>D10/D11</f>
        <v>0.28373102979068426</v>
      </c>
      <c r="J18" s="5" t="s">
        <v>43</v>
      </c>
      <c r="K18" s="1">
        <f>330/K16</f>
        <v>15.270708005552985</v>
      </c>
      <c r="L18" s="6"/>
    </row>
    <row r="19" spans="2:12" ht="15" thickBot="1" x14ac:dyDescent="0.35">
      <c r="B19" s="5" t="s">
        <v>13</v>
      </c>
      <c r="C19" s="1">
        <v>28753.38</v>
      </c>
      <c r="D19" s="6">
        <v>25767.9</v>
      </c>
      <c r="F19" s="5" t="s">
        <v>33</v>
      </c>
      <c r="G19" s="1">
        <f>C10/C7</f>
        <v>0.66368198989855831</v>
      </c>
      <c r="H19" s="6">
        <f>D10/D7</f>
        <v>0.22102062130331723</v>
      </c>
      <c r="J19" s="7" t="s">
        <v>45</v>
      </c>
      <c r="K19" s="8">
        <f>K18/K17</f>
        <v>-90.659340659340643</v>
      </c>
      <c r="L19" s="9"/>
    </row>
    <row r="20" spans="2:12" x14ac:dyDescent="0.3">
      <c r="B20" s="5" t="s">
        <v>14</v>
      </c>
      <c r="C20" s="1">
        <f>C18-C19</f>
        <v>17214.689999999999</v>
      </c>
      <c r="D20" s="6">
        <f>D18-D19</f>
        <v>16567.97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v>2138.1</v>
      </c>
      <c r="D21" s="6">
        <v>2711.06</v>
      </c>
      <c r="F21" s="5" t="s">
        <v>38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16</v>
      </c>
      <c r="C22" s="1">
        <v>15333.02</v>
      </c>
      <c r="D22" s="6">
        <v>17093.759999999998</v>
      </c>
      <c r="F22" s="7" t="s">
        <v>39</v>
      </c>
      <c r="G22" s="8">
        <f>2*C16/(C7+D7)</f>
        <v>0.18604107240567641</v>
      </c>
      <c r="H22" s="9"/>
    </row>
    <row r="23" spans="2:12" x14ac:dyDescent="0.3">
      <c r="B23" s="5" t="s">
        <v>19</v>
      </c>
      <c r="C23" s="1">
        <v>-106.7</v>
      </c>
      <c r="D23" s="6">
        <v>290.93</v>
      </c>
    </row>
    <row r="24" spans="2:12" ht="15" thickBot="1" x14ac:dyDescent="0.35">
      <c r="B24" s="7" t="s">
        <v>20</v>
      </c>
      <c r="C24" s="8">
        <f>C22+C23</f>
        <v>15226.32</v>
      </c>
      <c r="D24" s="9">
        <f>D22+D23</f>
        <v>17384.689999999999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9E1-39DC-4311-8D42-FF4136C06288}">
  <dimension ref="B1:L24"/>
  <sheetViews>
    <sheetView zoomScale="99" workbookViewId="0">
      <selection activeCell="G8" sqref="G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10</v>
      </c>
      <c r="F2" s="2" t="s">
        <v>21</v>
      </c>
      <c r="G2" s="3"/>
      <c r="H2" s="4" t="s">
        <v>22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46</v>
      </c>
      <c r="F4" s="5"/>
      <c r="G4" s="1" t="s">
        <v>2</v>
      </c>
      <c r="H4" s="6" t="s">
        <v>46</v>
      </c>
    </row>
    <row r="5" spans="2:12" x14ac:dyDescent="0.3">
      <c r="B5" s="5" t="s">
        <v>3</v>
      </c>
      <c r="C5" s="1">
        <v>624633</v>
      </c>
      <c r="D5" s="6">
        <v>656276</v>
      </c>
      <c r="F5" s="5" t="s">
        <v>23</v>
      </c>
      <c r="G5" s="1">
        <v>48050</v>
      </c>
      <c r="H5" s="6">
        <v>67491</v>
      </c>
    </row>
    <row r="6" spans="2:12" x14ac:dyDescent="0.3">
      <c r="B6" s="5" t="s">
        <v>4</v>
      </c>
      <c r="C6" s="1">
        <v>265932</v>
      </c>
      <c r="D6" s="6">
        <v>222398</v>
      </c>
      <c r="F6" s="5" t="s">
        <v>24</v>
      </c>
      <c r="G6" s="1">
        <v>-584</v>
      </c>
      <c r="H6" s="6">
        <v>-45315</v>
      </c>
    </row>
    <row r="7" spans="2:12" x14ac:dyDescent="0.3">
      <c r="B7" s="5" t="s">
        <v>5</v>
      </c>
      <c r="C7" s="1">
        <f>C5+C6</f>
        <v>890565</v>
      </c>
      <c r="D7" s="6">
        <f>D5+D6</f>
        <v>878674</v>
      </c>
      <c r="F7" s="5" t="s">
        <v>25</v>
      </c>
      <c r="G7" s="1">
        <v>-7369</v>
      </c>
      <c r="H7" s="6">
        <v>-6035</v>
      </c>
    </row>
    <row r="8" spans="2:12" ht="15" thickBot="1" x14ac:dyDescent="0.35">
      <c r="B8" s="5" t="s">
        <v>6</v>
      </c>
      <c r="C8" s="1">
        <v>174195</v>
      </c>
      <c r="D8" s="6">
        <v>206165</v>
      </c>
      <c r="F8" s="7" t="s">
        <v>26</v>
      </c>
      <c r="G8" s="8">
        <f>G5+G6+G7</f>
        <v>40097</v>
      </c>
      <c r="H8" s="9">
        <f>H5+H6+H7</f>
        <v>16141</v>
      </c>
    </row>
    <row r="9" spans="2:12" ht="15" thickBot="1" x14ac:dyDescent="0.35">
      <c r="B9" s="5" t="s">
        <v>7</v>
      </c>
      <c r="C9" s="1">
        <v>237276</v>
      </c>
      <c r="D9" s="6">
        <v>200982</v>
      </c>
      <c r="F9" s="10"/>
      <c r="G9" s="11"/>
      <c r="H9" s="12"/>
    </row>
    <row r="10" spans="2:12" x14ac:dyDescent="0.3">
      <c r="B10" s="5" t="s">
        <v>8</v>
      </c>
      <c r="C10" s="1">
        <f>C8+C9</f>
        <v>411471</v>
      </c>
      <c r="D10" s="6">
        <f>D8+D9</f>
        <v>407147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479094</v>
      </c>
      <c r="D11" s="9">
        <f>D7-D10</f>
        <v>471527</v>
      </c>
      <c r="F11" s="5" t="s">
        <v>27</v>
      </c>
      <c r="G11" s="1">
        <f>C20/C16</f>
        <v>9.7886152399551549E-2</v>
      </c>
      <c r="H11" s="6">
        <f>D20/D16</f>
        <v>9.915297550662025E-2</v>
      </c>
    </row>
    <row r="12" spans="2:12" ht="15" thickBot="1" x14ac:dyDescent="0.35">
      <c r="F12" s="5" t="s">
        <v>28</v>
      </c>
      <c r="G12" s="1">
        <f>C22/C16</f>
        <v>7.9933817945101446E-2</v>
      </c>
      <c r="H12" s="6">
        <f>D22/D16</f>
        <v>8.5366439657695511E-2</v>
      </c>
    </row>
    <row r="13" spans="2:12" x14ac:dyDescent="0.3">
      <c r="B13" s="2" t="s">
        <v>11</v>
      </c>
      <c r="C13" s="3"/>
      <c r="D13" s="4" t="s">
        <v>10</v>
      </c>
      <c r="F13" s="5" t="s">
        <v>35</v>
      </c>
      <c r="G13" s="1"/>
      <c r="H13" s="6"/>
      <c r="J13" s="2"/>
      <c r="K13" s="3" t="s">
        <v>2</v>
      </c>
      <c r="L13" s="4" t="s">
        <v>46</v>
      </c>
    </row>
    <row r="14" spans="2:12" x14ac:dyDescent="0.3">
      <c r="B14" s="5"/>
      <c r="C14" s="1"/>
      <c r="D14" s="6"/>
      <c r="F14" s="5" t="s">
        <v>29</v>
      </c>
      <c r="G14" s="1">
        <f>C22/C11</f>
        <v>9.2267905671955822E-2</v>
      </c>
      <c r="H14" s="6">
        <f>D22/D11</f>
        <v>8.2888148504751583E-2</v>
      </c>
      <c r="J14" s="5" t="s">
        <v>40</v>
      </c>
      <c r="K14" s="1">
        <v>48926</v>
      </c>
      <c r="L14" s="6">
        <v>45923</v>
      </c>
    </row>
    <row r="15" spans="2:12" x14ac:dyDescent="0.3">
      <c r="B15" s="5"/>
      <c r="C15" s="1" t="s">
        <v>2</v>
      </c>
      <c r="D15" s="6" t="s">
        <v>46</v>
      </c>
      <c r="F15" s="5" t="s">
        <v>30</v>
      </c>
      <c r="G15" s="1">
        <f>C20/(C7-C9)</f>
        <v>8.2862255448966693E-2</v>
      </c>
      <c r="H15" s="6">
        <f>D20/(D7-D9)</f>
        <v>6.6986182513590245E-2</v>
      </c>
      <c r="J15" s="5" t="s">
        <v>41</v>
      </c>
      <c r="K15" s="1">
        <v>16898</v>
      </c>
      <c r="L15" s="6">
        <v>14394</v>
      </c>
    </row>
    <row r="16" spans="2:12" x14ac:dyDescent="0.3">
      <c r="B16" s="5" t="s">
        <v>12</v>
      </c>
      <c r="C16" s="1">
        <v>553020</v>
      </c>
      <c r="D16" s="6">
        <v>457838</v>
      </c>
      <c r="F16" s="5" t="s">
        <v>31</v>
      </c>
      <c r="G16" s="1">
        <f>C22/C7</f>
        <v>4.963702817874046E-2</v>
      </c>
      <c r="H16" s="6">
        <f>D22/D7</f>
        <v>4.4480660631815667E-2</v>
      </c>
      <c r="J16" s="5" t="s">
        <v>42</v>
      </c>
      <c r="K16" s="1">
        <v>65.34</v>
      </c>
      <c r="L16" s="6">
        <v>58.49</v>
      </c>
    </row>
    <row r="17" spans="2:12" x14ac:dyDescent="0.3">
      <c r="B17" s="5" t="s">
        <v>17</v>
      </c>
      <c r="C17" s="1"/>
      <c r="D17" s="6"/>
      <c r="F17" s="5" t="s">
        <v>36</v>
      </c>
      <c r="G17" s="1"/>
      <c r="H17" s="6"/>
      <c r="J17" s="5" t="s">
        <v>44</v>
      </c>
      <c r="K17" s="1">
        <f>(K16-L16)/K16</f>
        <v>0.10483624119987758</v>
      </c>
      <c r="L17" s="6"/>
    </row>
    <row r="18" spans="2:12" x14ac:dyDescent="0.3">
      <c r="B18" s="5" t="s">
        <v>18</v>
      </c>
      <c r="C18" s="1">
        <f>C16-C17</f>
        <v>553020</v>
      </c>
      <c r="D18" s="6">
        <f>D16-D17</f>
        <v>457838</v>
      </c>
      <c r="F18" s="5" t="s">
        <v>32</v>
      </c>
      <c r="G18" s="1">
        <f>C10/C11</f>
        <v>0.8588523337800098</v>
      </c>
      <c r="H18" s="6">
        <f>D10/D11</f>
        <v>0.86346487051642851</v>
      </c>
      <c r="J18" s="5" t="s">
        <v>43</v>
      </c>
      <c r="K18" s="1">
        <f>3000/K16</f>
        <v>45.913682277318635</v>
      </c>
      <c r="L18" s="6"/>
    </row>
    <row r="19" spans="2:12" ht="15" thickBot="1" x14ac:dyDescent="0.35">
      <c r="B19" s="5" t="s">
        <v>13</v>
      </c>
      <c r="C19" s="1">
        <v>498887</v>
      </c>
      <c r="D19" s="6">
        <v>412442</v>
      </c>
      <c r="F19" s="5" t="s">
        <v>33</v>
      </c>
      <c r="G19" s="1">
        <f>C10/C7</f>
        <v>0.46203365279345132</v>
      </c>
      <c r="H19" s="6">
        <f>D10/D7</f>
        <v>0.46336525264204925</v>
      </c>
      <c r="J19" s="7" t="s">
        <v>45</v>
      </c>
      <c r="K19" s="8">
        <f>K18/K17</f>
        <v>437.95620437956188</v>
      </c>
      <c r="L19" s="9"/>
    </row>
    <row r="20" spans="2:12" x14ac:dyDescent="0.3">
      <c r="B20" s="5" t="s">
        <v>14</v>
      </c>
      <c r="C20" s="1">
        <f>C18-C19</f>
        <v>54133</v>
      </c>
      <c r="D20" s="6">
        <f>D18-D19</f>
        <v>45396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f>6186+4930</f>
        <v>11116</v>
      </c>
      <c r="D21" s="6">
        <f>544+6915</f>
        <v>7459</v>
      </c>
      <c r="F21" s="5" t="s">
        <v>38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16</v>
      </c>
      <c r="C22" s="1">
        <v>44205</v>
      </c>
      <c r="D22" s="6">
        <v>39084</v>
      </c>
      <c r="F22" s="7" t="s">
        <v>39</v>
      </c>
      <c r="G22" s="8">
        <f>2*C16/(C7+D7)</f>
        <v>0.62515013517111029</v>
      </c>
      <c r="H22" s="9"/>
    </row>
    <row r="23" spans="2:12" x14ac:dyDescent="0.3">
      <c r="B23" s="5" t="s">
        <v>19</v>
      </c>
      <c r="C23" s="1">
        <v>-8124</v>
      </c>
      <c r="D23" s="6">
        <v>-1979</v>
      </c>
    </row>
    <row r="24" spans="2:12" ht="15" thickBot="1" x14ac:dyDescent="0.35">
      <c r="B24" s="7" t="s">
        <v>20</v>
      </c>
      <c r="C24" s="8">
        <f>C22+C23</f>
        <v>36081</v>
      </c>
      <c r="D24" s="9">
        <f>D22+D23</f>
        <v>37105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1740-3955-4BBD-A6BA-3FC0D39F7216}">
  <dimension ref="B1:L24"/>
  <sheetViews>
    <sheetView tabSelected="1" zoomScale="99" workbookViewId="0">
      <selection activeCell="G8" sqref="G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47</v>
      </c>
      <c r="F2" s="2" t="s">
        <v>21</v>
      </c>
      <c r="G2" s="3"/>
      <c r="H2" s="4" t="s">
        <v>49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46</v>
      </c>
      <c r="F4" s="5"/>
      <c r="G4" s="1" t="s">
        <v>2</v>
      </c>
      <c r="H4" s="6" t="s">
        <v>46</v>
      </c>
    </row>
    <row r="5" spans="2:12" x14ac:dyDescent="0.3">
      <c r="B5" s="5" t="s">
        <v>3</v>
      </c>
      <c r="C5" s="1">
        <v>3139594.13</v>
      </c>
      <c r="D5" s="6">
        <v>3013377.62</v>
      </c>
      <c r="F5" s="5" t="s">
        <v>23</v>
      </c>
      <c r="G5" s="1">
        <v>791209.88</v>
      </c>
      <c r="H5" s="6">
        <v>493014.25</v>
      </c>
    </row>
    <row r="6" spans="2:12" x14ac:dyDescent="0.3">
      <c r="B6" s="5" t="s">
        <v>4</v>
      </c>
      <c r="C6" s="1">
        <v>530776.80000000005</v>
      </c>
      <c r="D6" s="6">
        <v>359264.76</v>
      </c>
      <c r="F6" s="5" t="s">
        <v>24</v>
      </c>
      <c r="G6" s="1">
        <v>-556484.89</v>
      </c>
      <c r="H6" s="6">
        <v>-235020.23</v>
      </c>
    </row>
    <row r="7" spans="2:12" x14ac:dyDescent="0.3">
      <c r="B7" s="5" t="s">
        <v>5</v>
      </c>
      <c r="C7" s="1">
        <f>C5+C6</f>
        <v>3670370.9299999997</v>
      </c>
      <c r="D7" s="6">
        <f>D5+D6</f>
        <v>3372642.38</v>
      </c>
      <c r="F7" s="5" t="s">
        <v>25</v>
      </c>
      <c r="G7" s="1">
        <v>-234454.1</v>
      </c>
      <c r="H7" s="6">
        <v>-258692.01</v>
      </c>
    </row>
    <row r="8" spans="2:12" ht="15" thickBot="1" x14ac:dyDescent="0.35">
      <c r="B8" s="5" t="s">
        <v>6</v>
      </c>
      <c r="C8" s="1">
        <v>680413.41</v>
      </c>
      <c r="D8" s="6">
        <v>635147.86</v>
      </c>
      <c r="F8" s="7" t="s">
        <v>26</v>
      </c>
      <c r="G8" s="8">
        <f>G5+G6+G7</f>
        <v>270.88999999998487</v>
      </c>
      <c r="H8" s="9">
        <f>H5+H6+H7</f>
        <v>-697.99000000001979</v>
      </c>
    </row>
    <row r="9" spans="2:12" ht="15" thickBot="1" x14ac:dyDescent="0.35">
      <c r="B9" s="5" t="s">
        <v>7</v>
      </c>
      <c r="C9" s="1">
        <v>411499.11</v>
      </c>
      <c r="D9" s="6">
        <v>366013.66</v>
      </c>
      <c r="F9" s="10"/>
      <c r="G9" s="11"/>
      <c r="H9" s="12"/>
    </row>
    <row r="10" spans="2:12" x14ac:dyDescent="0.3">
      <c r="B10" s="5" t="s">
        <v>8</v>
      </c>
      <c r="C10" s="1">
        <f>C8+C9</f>
        <v>1091912.52</v>
      </c>
      <c r="D10" s="6">
        <f>D8+D9</f>
        <v>1001161.52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2578458.4099999997</v>
      </c>
      <c r="D11" s="9">
        <f>D7-D10</f>
        <v>2371480.86</v>
      </c>
      <c r="F11" s="5" t="s">
        <v>27</v>
      </c>
      <c r="G11" s="1">
        <f>C20/C16</f>
        <v>0.30890111854465235</v>
      </c>
      <c r="H11" s="6">
        <f>D20/D16</f>
        <v>0.35118638957857112</v>
      </c>
    </row>
    <row r="12" spans="2:12" ht="15" thickBot="1" x14ac:dyDescent="0.35">
      <c r="F12" s="5" t="s">
        <v>28</v>
      </c>
      <c r="G12" s="1">
        <f>C22/C16</f>
        <v>0.23800384111282591</v>
      </c>
      <c r="H12" s="6">
        <f>D22/D16</f>
        <v>0.34490329154433502</v>
      </c>
    </row>
    <row r="13" spans="2:12" x14ac:dyDescent="0.3">
      <c r="B13" s="2" t="s">
        <v>11</v>
      </c>
      <c r="C13" s="3"/>
      <c r="D13" s="4" t="s">
        <v>48</v>
      </c>
      <c r="F13" s="5" t="s">
        <v>35</v>
      </c>
      <c r="G13" s="1"/>
      <c r="H13" s="6"/>
      <c r="J13" s="2"/>
      <c r="K13" s="3" t="s">
        <v>2</v>
      </c>
      <c r="L13" s="4" t="s">
        <v>46</v>
      </c>
    </row>
    <row r="14" spans="2:12" x14ac:dyDescent="0.3">
      <c r="B14" s="5"/>
      <c r="C14" s="1"/>
      <c r="D14" s="6"/>
      <c r="F14" s="5" t="s">
        <v>29</v>
      </c>
      <c r="G14" s="1">
        <f>C22/C11</f>
        <v>0.15058946403560569</v>
      </c>
      <c r="H14" s="6">
        <f>D22/D11</f>
        <v>0.16996020368471371</v>
      </c>
      <c r="J14" s="5" t="s">
        <v>40</v>
      </c>
      <c r="K14" s="1">
        <v>83195.13</v>
      </c>
      <c r="L14" s="6">
        <v>78614.149999999994</v>
      </c>
    </row>
    <row r="15" spans="2:12" x14ac:dyDescent="0.3">
      <c r="B15" s="5"/>
      <c r="C15" s="1" t="s">
        <v>2</v>
      </c>
      <c r="D15" s="6" t="s">
        <v>46</v>
      </c>
      <c r="F15" s="5" t="s">
        <v>30</v>
      </c>
      <c r="G15" s="1">
        <f>C20/(C7-C9)</f>
        <v>0.154640396381101</v>
      </c>
      <c r="H15" s="6">
        <f>D20/(D7-D9)</f>
        <v>0.13649835021864623</v>
      </c>
      <c r="J15" s="5" t="s">
        <v>41</v>
      </c>
      <c r="K15" s="1">
        <v>102503.05</v>
      </c>
      <c r="L15" s="6">
        <v>117884.84</v>
      </c>
    </row>
    <row r="16" spans="2:12" x14ac:dyDescent="0.3">
      <c r="B16" s="5" t="s">
        <v>12</v>
      </c>
      <c r="C16" s="1">
        <v>1631438.67</v>
      </c>
      <c r="D16" s="6">
        <v>1168609.81</v>
      </c>
      <c r="F16" s="5" t="s">
        <v>31</v>
      </c>
      <c r="G16" s="1">
        <f>C22/C7</f>
        <v>0.10579003523221563</v>
      </c>
      <c r="H16" s="6">
        <f>D22/D7</f>
        <v>0.11950788864842528</v>
      </c>
      <c r="J16" s="5" t="s">
        <v>42</v>
      </c>
      <c r="K16" s="1">
        <v>30.86</v>
      </c>
      <c r="L16" s="6">
        <v>32.04</v>
      </c>
    </row>
    <row r="17" spans="2:12" x14ac:dyDescent="0.3">
      <c r="B17" s="5" t="s">
        <v>17</v>
      </c>
      <c r="C17" s="1"/>
      <c r="D17" s="6"/>
      <c r="F17" s="5" t="s">
        <v>36</v>
      </c>
      <c r="G17" s="1"/>
      <c r="H17" s="6"/>
      <c r="J17" s="5" t="s">
        <v>44</v>
      </c>
      <c r="K17" s="1">
        <f>(K16-L16)/K16</f>
        <v>-3.823720025923525E-2</v>
      </c>
      <c r="L17" s="6"/>
    </row>
    <row r="18" spans="2:12" x14ac:dyDescent="0.3">
      <c r="B18" s="5" t="s">
        <v>18</v>
      </c>
      <c r="C18" s="1">
        <f>C16-C17</f>
        <v>1631438.67</v>
      </c>
      <c r="D18" s="6">
        <f>D16-D17</f>
        <v>1168609.81</v>
      </c>
      <c r="F18" s="5" t="s">
        <v>32</v>
      </c>
      <c r="G18" s="1">
        <f>C10/C11</f>
        <v>0.42347493981878892</v>
      </c>
      <c r="H18" s="6">
        <f>D10/D11</f>
        <v>0.42216723604507611</v>
      </c>
      <c r="J18" s="5" t="s">
        <v>43</v>
      </c>
      <c r="K18" s="1">
        <f>300/K16</f>
        <v>9.7213220998055743</v>
      </c>
      <c r="L18" s="6"/>
    </row>
    <row r="19" spans="2:12" ht="15" thickBot="1" x14ac:dyDescent="0.35">
      <c r="B19" s="5" t="s">
        <v>13</v>
      </c>
      <c r="C19" s="1">
        <v>1035134.3</v>
      </c>
      <c r="D19" s="6">
        <v>758209.95</v>
      </c>
      <c r="F19" s="5" t="s">
        <v>33</v>
      </c>
      <c r="G19" s="1">
        <f>C10/C7</f>
        <v>0.29749377946386474</v>
      </c>
      <c r="H19" s="6">
        <f>D10/D7</f>
        <v>0.29684781462065363</v>
      </c>
      <c r="J19" s="7" t="s">
        <v>45</v>
      </c>
      <c r="K19" s="8">
        <f>K18/K17</f>
        <v>-254.23728813559327</v>
      </c>
      <c r="L19" s="9"/>
    </row>
    <row r="20" spans="2:12" x14ac:dyDescent="0.3">
      <c r="B20" s="5" t="s">
        <v>14</v>
      </c>
      <c r="C20" s="1">
        <v>503953.23</v>
      </c>
      <c r="D20" s="6">
        <v>410399.86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v>115664.56</v>
      </c>
      <c r="D21" s="6">
        <v>7342.49</v>
      </c>
      <c r="F21" s="5" t="s">
        <v>38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16</v>
      </c>
      <c r="C22" s="1">
        <f>C20-C21</f>
        <v>388288.67</v>
      </c>
      <c r="D22" s="6">
        <f>D20-D21</f>
        <v>403057.37</v>
      </c>
      <c r="F22" s="7" t="s">
        <v>39</v>
      </c>
      <c r="G22" s="8">
        <f>2*C16/(C7+D7)</f>
        <v>0.46327859914267294</v>
      </c>
      <c r="H22" s="9"/>
    </row>
    <row r="23" spans="2:12" x14ac:dyDescent="0.3">
      <c r="B23" s="5" t="s">
        <v>19</v>
      </c>
      <c r="C23" s="1">
        <v>-5186.45</v>
      </c>
      <c r="D23" s="6">
        <v>37319.11</v>
      </c>
    </row>
    <row r="24" spans="2:12" ht="15" thickBot="1" x14ac:dyDescent="0.35">
      <c r="B24" s="7" t="s">
        <v>20</v>
      </c>
      <c r="C24" s="8">
        <f>C22+C23</f>
        <v>383102.22</v>
      </c>
      <c r="D24" s="9">
        <f>D22+D23</f>
        <v>440376.48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Tata Power</vt:lpstr>
      <vt:lpstr>Adani</vt:lpstr>
      <vt:lpstr>NTPC</vt:lpstr>
      <vt:lpstr>Powergrid</vt:lpstr>
      <vt:lpstr>RIL</vt:lpstr>
      <vt:lpstr>ONGC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Revanth Gudipati</dc:creator>
  <cp:lastModifiedBy>Sai Revanth Gudipati</cp:lastModifiedBy>
  <dcterms:created xsi:type="dcterms:W3CDTF">2015-06-05T18:17:20Z</dcterms:created>
  <dcterms:modified xsi:type="dcterms:W3CDTF">2024-07-23T18:50:57Z</dcterms:modified>
</cp:coreProperties>
</file>