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D:\Company Reports\"/>
    </mc:Choice>
  </mc:AlternateContent>
  <xr:revisionPtr revIDLastSave="0" documentId="13_ncr:1_{CBF26164-D9F7-4186-BDB5-C1A45260004B}" xr6:coauthVersionLast="47" xr6:coauthVersionMax="47" xr10:uidLastSave="{00000000-0000-0000-0000-000000000000}"/>
  <bookViews>
    <workbookView xWindow="-96" yWindow="0" windowWidth="11712" windowHeight="12336" firstSheet="8" activeTab="9" xr2:uid="{00000000-000D-0000-FFFF-FFFF00000000}"/>
  </bookViews>
  <sheets>
    <sheet name="SPIL" sheetId="1" r:id="rId1"/>
    <sheet name="Dr. Lal Pathlabs" sheetId="11" r:id="rId2"/>
    <sheet name="Cipla" sheetId="3" r:id="rId3"/>
    <sheet name="Torrent" sheetId="12" r:id="rId4"/>
    <sheet name="Aster DM" sheetId="13" r:id="rId5"/>
    <sheet name="Apollo" sheetId="14" r:id="rId6"/>
    <sheet name="Emcure" sheetId="15" r:id="rId7"/>
    <sheet name="Narayana" sheetId="16" r:id="rId8"/>
    <sheet name="Mankind" sheetId="17" r:id="rId9"/>
    <sheet name="Zydus lifesciences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8" i="1" l="1"/>
  <c r="D19" i="1"/>
  <c r="C19" i="1"/>
  <c r="K18" i="11"/>
  <c r="D19" i="11"/>
  <c r="C19" i="11"/>
  <c r="K18" i="3"/>
  <c r="D19" i="3"/>
  <c r="C19" i="3"/>
  <c r="D6" i="3"/>
  <c r="D7" i="3" s="1"/>
  <c r="D9" i="3"/>
  <c r="D10" i="3" s="1"/>
  <c r="K18" i="12"/>
  <c r="D19" i="12"/>
  <c r="C20" i="12"/>
  <c r="C19" i="12"/>
  <c r="K18" i="13"/>
  <c r="D23" i="13"/>
  <c r="C23" i="13"/>
  <c r="D19" i="13"/>
  <c r="C19" i="13"/>
  <c r="K18" i="14"/>
  <c r="D19" i="14"/>
  <c r="D20" i="14"/>
  <c r="H11" i="14" s="1"/>
  <c r="C19" i="14"/>
  <c r="K18" i="15"/>
  <c r="C19" i="15"/>
  <c r="C20" i="15" s="1"/>
  <c r="G11" i="15" s="1"/>
  <c r="D19" i="15"/>
  <c r="D20" i="15" s="1"/>
  <c r="H11" i="15" s="1"/>
  <c r="K18" i="16"/>
  <c r="K19" i="16" s="1"/>
  <c r="D19" i="16"/>
  <c r="C19" i="16"/>
  <c r="K18" i="10"/>
  <c r="D19" i="10"/>
  <c r="C19" i="10"/>
  <c r="K18" i="17"/>
  <c r="D19" i="17"/>
  <c r="C19" i="17"/>
  <c r="H21" i="17"/>
  <c r="G21" i="17"/>
  <c r="D18" i="17"/>
  <c r="C18" i="17"/>
  <c r="K17" i="17"/>
  <c r="D10" i="17"/>
  <c r="H19" i="17" s="1"/>
  <c r="C10" i="17"/>
  <c r="G19" i="17" s="1"/>
  <c r="H8" i="17"/>
  <c r="G8" i="17"/>
  <c r="D7" i="17"/>
  <c r="C7" i="17"/>
  <c r="G22" i="17" s="1"/>
  <c r="H21" i="16"/>
  <c r="G21" i="16"/>
  <c r="G19" i="16"/>
  <c r="D18" i="16"/>
  <c r="D20" i="16" s="1"/>
  <c r="H11" i="16" s="1"/>
  <c r="C18" i="16"/>
  <c r="C20" i="16" s="1"/>
  <c r="G11" i="16" s="1"/>
  <c r="K17" i="16"/>
  <c r="D10" i="16"/>
  <c r="C10" i="16"/>
  <c r="H8" i="16"/>
  <c r="G8" i="16"/>
  <c r="D7" i="16"/>
  <c r="D11" i="16" s="1"/>
  <c r="C7" i="16"/>
  <c r="G22" i="16" s="1"/>
  <c r="H21" i="15"/>
  <c r="G21" i="15"/>
  <c r="D18" i="15"/>
  <c r="C18" i="15"/>
  <c r="K17" i="15"/>
  <c r="K19" i="15" s="1"/>
  <c r="D10" i="15"/>
  <c r="C10" i="15"/>
  <c r="H8" i="15"/>
  <c r="G8" i="15"/>
  <c r="D7" i="15"/>
  <c r="D11" i="15" s="1"/>
  <c r="C7" i="15"/>
  <c r="G22" i="15" s="1"/>
  <c r="H21" i="14"/>
  <c r="G21" i="14"/>
  <c r="D18" i="14"/>
  <c r="C18" i="14"/>
  <c r="C20" i="14" s="1"/>
  <c r="G11" i="14" s="1"/>
  <c r="K17" i="14"/>
  <c r="D10" i="14"/>
  <c r="C10" i="14"/>
  <c r="G19" i="14" s="1"/>
  <c r="H8" i="14"/>
  <c r="G8" i="14"/>
  <c r="D7" i="14"/>
  <c r="D11" i="14" s="1"/>
  <c r="C7" i="14"/>
  <c r="H21" i="13"/>
  <c r="G21" i="13"/>
  <c r="D18" i="13"/>
  <c r="D20" i="13" s="1"/>
  <c r="H11" i="13" s="1"/>
  <c r="C18" i="13"/>
  <c r="C20" i="13" s="1"/>
  <c r="G11" i="13" s="1"/>
  <c r="K17" i="13"/>
  <c r="K19" i="13" s="1"/>
  <c r="D10" i="13"/>
  <c r="C10" i="13"/>
  <c r="H8" i="13"/>
  <c r="G8" i="13"/>
  <c r="D7" i="13"/>
  <c r="C7" i="13"/>
  <c r="H21" i="12"/>
  <c r="G21" i="12"/>
  <c r="H19" i="12"/>
  <c r="G19" i="12"/>
  <c r="D18" i="12"/>
  <c r="D20" i="12" s="1"/>
  <c r="H11" i="12" s="1"/>
  <c r="C18" i="12"/>
  <c r="K17" i="12"/>
  <c r="D10" i="12"/>
  <c r="C10" i="12"/>
  <c r="H8" i="12"/>
  <c r="G8" i="12"/>
  <c r="D7" i="12"/>
  <c r="D11" i="12" s="1"/>
  <c r="C7" i="12"/>
  <c r="G22" i="12" s="1"/>
  <c r="H21" i="11"/>
  <c r="G21" i="11"/>
  <c r="G19" i="11"/>
  <c r="D18" i="11"/>
  <c r="C18" i="11"/>
  <c r="K17" i="11"/>
  <c r="D10" i="11"/>
  <c r="C10" i="11"/>
  <c r="H8" i="11"/>
  <c r="G8" i="11"/>
  <c r="D7" i="11"/>
  <c r="C7" i="11"/>
  <c r="H21" i="10"/>
  <c r="G21" i="10"/>
  <c r="D18" i="10"/>
  <c r="D20" i="10" s="1"/>
  <c r="H11" i="10" s="1"/>
  <c r="C18" i="10"/>
  <c r="C20" i="10" s="1"/>
  <c r="G11" i="10" s="1"/>
  <c r="K17" i="10"/>
  <c r="D10" i="10"/>
  <c r="H19" i="10" s="1"/>
  <c r="C10" i="10"/>
  <c r="G19" i="10" s="1"/>
  <c r="H8" i="10"/>
  <c r="G8" i="10"/>
  <c r="D7" i="10"/>
  <c r="C7" i="10"/>
  <c r="G22" i="10" s="1"/>
  <c r="H21" i="3"/>
  <c r="G21" i="3"/>
  <c r="D18" i="3"/>
  <c r="C18" i="3"/>
  <c r="K17" i="3"/>
  <c r="C10" i="3"/>
  <c r="H8" i="3"/>
  <c r="G8" i="3"/>
  <c r="C7" i="3"/>
  <c r="K17" i="1"/>
  <c r="H21" i="1"/>
  <c r="G21" i="1"/>
  <c r="G22" i="1"/>
  <c r="H8" i="1"/>
  <c r="G8" i="1"/>
  <c r="D18" i="1"/>
  <c r="H15" i="1" s="1"/>
  <c r="C18" i="1"/>
  <c r="D10" i="1"/>
  <c r="H19" i="1" s="1"/>
  <c r="C10" i="1"/>
  <c r="C11" i="1" s="1"/>
  <c r="G18" i="1" s="1"/>
  <c r="K19" i="1" l="1"/>
  <c r="G15" i="1"/>
  <c r="G19" i="1"/>
  <c r="K19" i="11"/>
  <c r="D20" i="11"/>
  <c r="H11" i="11" s="1"/>
  <c r="C20" i="11"/>
  <c r="G11" i="11" s="1"/>
  <c r="D11" i="11"/>
  <c r="H19" i="11"/>
  <c r="G22" i="11"/>
  <c r="H18" i="11"/>
  <c r="K19" i="3"/>
  <c r="D20" i="3"/>
  <c r="H11" i="3" s="1"/>
  <c r="C20" i="3"/>
  <c r="G11" i="3" s="1"/>
  <c r="H19" i="3"/>
  <c r="D11" i="3"/>
  <c r="H18" i="3" s="1"/>
  <c r="G22" i="3"/>
  <c r="G19" i="3"/>
  <c r="K19" i="12"/>
  <c r="G11" i="12"/>
  <c r="H18" i="12"/>
  <c r="H15" i="13"/>
  <c r="G15" i="13"/>
  <c r="G19" i="13"/>
  <c r="K19" i="14"/>
  <c r="H18" i="14"/>
  <c r="H19" i="14"/>
  <c r="G22" i="14"/>
  <c r="H18" i="15"/>
  <c r="H19" i="15"/>
  <c r="G19" i="15"/>
  <c r="H19" i="16"/>
  <c r="H18" i="16"/>
  <c r="K19" i="10"/>
  <c r="D11" i="10"/>
  <c r="H18" i="10" s="1"/>
  <c r="K19" i="17"/>
  <c r="D20" i="17"/>
  <c r="H11" i="17" s="1"/>
  <c r="C20" i="17"/>
  <c r="G11" i="17" s="1"/>
  <c r="D11" i="17"/>
  <c r="H18" i="17" s="1"/>
  <c r="H15" i="17"/>
  <c r="C11" i="17"/>
  <c r="G18" i="17" s="1"/>
  <c r="D22" i="17"/>
  <c r="G15" i="16"/>
  <c r="H15" i="16"/>
  <c r="C11" i="16"/>
  <c r="G18" i="16" s="1"/>
  <c r="C22" i="16"/>
  <c r="D22" i="16"/>
  <c r="G15" i="15"/>
  <c r="H15" i="15"/>
  <c r="C11" i="15"/>
  <c r="G18" i="15" s="1"/>
  <c r="C22" i="15"/>
  <c r="D22" i="15"/>
  <c r="G15" i="14"/>
  <c r="H15" i="14"/>
  <c r="C11" i="14"/>
  <c r="G18" i="14" s="1"/>
  <c r="C22" i="14"/>
  <c r="D22" i="14"/>
  <c r="H19" i="13"/>
  <c r="C11" i="13"/>
  <c r="G18" i="13" s="1"/>
  <c r="C22" i="13"/>
  <c r="D11" i="13"/>
  <c r="H18" i="13" s="1"/>
  <c r="D22" i="13"/>
  <c r="G22" i="13"/>
  <c r="G15" i="12"/>
  <c r="H15" i="12"/>
  <c r="C11" i="12"/>
  <c r="G18" i="12" s="1"/>
  <c r="C22" i="12"/>
  <c r="D22" i="12"/>
  <c r="H15" i="11"/>
  <c r="C11" i="11"/>
  <c r="G18" i="11" s="1"/>
  <c r="D22" i="11"/>
  <c r="G15" i="10"/>
  <c r="H15" i="10"/>
  <c r="C11" i="10"/>
  <c r="G18" i="10" s="1"/>
  <c r="C22" i="10"/>
  <c r="D22" i="10"/>
  <c r="C11" i="3"/>
  <c r="G18" i="3" s="1"/>
  <c r="D11" i="1"/>
  <c r="H18" i="1" s="1"/>
  <c r="H11" i="1"/>
  <c r="D22" i="1"/>
  <c r="C22" i="1" l="1"/>
  <c r="G16" i="1" s="1"/>
  <c r="G11" i="1"/>
  <c r="C22" i="11"/>
  <c r="G12" i="11" s="1"/>
  <c r="G15" i="11"/>
  <c r="D24" i="3"/>
  <c r="H15" i="3"/>
  <c r="G12" i="3"/>
  <c r="G15" i="3"/>
  <c r="C22" i="17"/>
  <c r="G14" i="17" s="1"/>
  <c r="G15" i="17"/>
  <c r="D24" i="17"/>
  <c r="H16" i="17"/>
  <c r="H14" i="17"/>
  <c r="H12" i="17"/>
  <c r="D24" i="16"/>
  <c r="H16" i="16"/>
  <c r="H14" i="16"/>
  <c r="H12" i="16"/>
  <c r="G12" i="16"/>
  <c r="C24" i="16"/>
  <c r="G14" i="16"/>
  <c r="G16" i="16"/>
  <c r="D24" i="15"/>
  <c r="H16" i="15"/>
  <c r="H14" i="15"/>
  <c r="H12" i="15"/>
  <c r="G12" i="15"/>
  <c r="C24" i="15"/>
  <c r="G16" i="15"/>
  <c r="G14" i="15"/>
  <c r="D24" i="14"/>
  <c r="H16" i="14"/>
  <c r="H14" i="14"/>
  <c r="H12" i="14"/>
  <c r="G12" i="14"/>
  <c r="C24" i="14"/>
  <c r="G16" i="14"/>
  <c r="G14" i="14"/>
  <c r="D24" i="13"/>
  <c r="H14" i="13"/>
  <c r="H16" i="13"/>
  <c r="H12" i="13"/>
  <c r="G12" i="13"/>
  <c r="C24" i="13"/>
  <c r="G16" i="13"/>
  <c r="G14" i="13"/>
  <c r="G12" i="12"/>
  <c r="C24" i="12"/>
  <c r="G16" i="12"/>
  <c r="G14" i="12"/>
  <c r="D24" i="12"/>
  <c r="H16" i="12"/>
  <c r="H14" i="12"/>
  <c r="H12" i="12"/>
  <c r="D24" i="11"/>
  <c r="H16" i="11"/>
  <c r="H14" i="11"/>
  <c r="H12" i="11"/>
  <c r="D24" i="10"/>
  <c r="H16" i="10"/>
  <c r="H14" i="10"/>
  <c r="H12" i="10"/>
  <c r="G12" i="10"/>
  <c r="C24" i="10"/>
  <c r="G16" i="10"/>
  <c r="G14" i="10"/>
  <c r="C24" i="3"/>
  <c r="G16" i="3"/>
  <c r="G14" i="3"/>
  <c r="H14" i="1"/>
  <c r="H16" i="1"/>
  <c r="H12" i="1"/>
  <c r="D24" i="1"/>
  <c r="C24" i="1" l="1"/>
  <c r="G12" i="1"/>
  <c r="G14" i="1"/>
  <c r="G14" i="11"/>
  <c r="G16" i="11"/>
  <c r="C24" i="11"/>
  <c r="H12" i="3"/>
  <c r="H14" i="3"/>
  <c r="H16" i="3"/>
  <c r="C24" i="17"/>
  <c r="G16" i="17"/>
  <c r="G12" i="17"/>
</calcChain>
</file>

<file path=xl/sharedStrings.xml><?xml version="1.0" encoding="utf-8"?>
<sst xmlns="http://schemas.openxmlformats.org/spreadsheetml/2006/main" count="530" uniqueCount="52">
  <si>
    <t>Balance Sheet</t>
  </si>
  <si>
    <t>March 31'24</t>
  </si>
  <si>
    <t>March 31'23</t>
  </si>
  <si>
    <t>Non-Current Assets</t>
  </si>
  <si>
    <t>Current Assets</t>
  </si>
  <si>
    <t>Total Assets</t>
  </si>
  <si>
    <t xml:space="preserve"> Non-Current Liabilities</t>
  </si>
  <si>
    <t>Current Liabilities</t>
  </si>
  <si>
    <t>Total Liabilities</t>
  </si>
  <si>
    <t>Equity</t>
  </si>
  <si>
    <t>In Crores</t>
  </si>
  <si>
    <t>P&amp;L Statement</t>
  </si>
  <si>
    <t>Revenue</t>
  </si>
  <si>
    <t>Expenses</t>
  </si>
  <si>
    <t>Operating Profit</t>
  </si>
  <si>
    <t>Taxes</t>
  </si>
  <si>
    <t>Net Profit</t>
  </si>
  <si>
    <t>Cost of Goods Sold</t>
  </si>
  <si>
    <t>Gross Profit</t>
  </si>
  <si>
    <t>OCI</t>
  </si>
  <si>
    <t>Total Income</t>
  </si>
  <si>
    <t>Cash Flows</t>
  </si>
  <si>
    <t>In  Crores</t>
  </si>
  <si>
    <t>Operating Activities</t>
  </si>
  <si>
    <t>Investing Activities</t>
  </si>
  <si>
    <t>Financial Activities</t>
  </si>
  <si>
    <t>Net Cash Flow</t>
  </si>
  <si>
    <t>Operating Profit Margin</t>
  </si>
  <si>
    <t>Net Profit Margin</t>
  </si>
  <si>
    <t>ROE</t>
  </si>
  <si>
    <t>ROCE</t>
  </si>
  <si>
    <t>ROA</t>
  </si>
  <si>
    <t>D/E</t>
  </si>
  <si>
    <t>D/A</t>
  </si>
  <si>
    <t>Margins</t>
  </si>
  <si>
    <t>Return Ratios</t>
  </si>
  <si>
    <t>Leverage Ratios</t>
  </si>
  <si>
    <t>Efficiency Ratios</t>
  </si>
  <si>
    <t>Inventory Turnover Ratio</t>
  </si>
  <si>
    <t>Asset Turnover Ratio</t>
  </si>
  <si>
    <t>Inventories</t>
  </si>
  <si>
    <t>Recievables</t>
  </si>
  <si>
    <t>EPS</t>
  </si>
  <si>
    <t>PE Ratio</t>
  </si>
  <si>
    <t>GEPS</t>
  </si>
  <si>
    <t>PEG Ratio</t>
  </si>
  <si>
    <t>March 31'22</t>
  </si>
  <si>
    <t>March 31'21</t>
  </si>
  <si>
    <t>In millions</t>
  </si>
  <si>
    <t>In  millions</t>
  </si>
  <si>
    <t>In lakhs</t>
  </si>
  <si>
    <t>In  lakhs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</si>
</sst>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L24"/>
  <sheetViews>
    <sheetView topLeftCell="A4" zoomScale="99" workbookViewId="0">
      <selection activeCell="H8" sqref="H8"/>
    </sheetView>
  </sheetViews>
  <sheetFormatPr defaultRowHeight="14.4" x14ac:dyDescent="0.3"/>
  <cols>
    <col min="2" max="2" width="19.5546875" customWidth="1"/>
    <col min="3" max="3" width="11.5546875" customWidth="1"/>
    <col min="4" max="4" width="10.88671875" customWidth="1"/>
    <col min="6" max="6" width="21.21875" customWidth="1"/>
    <col min="7" max="7" width="11.77734375" customWidth="1"/>
    <col min="8" max="8" width="12.109375" customWidth="1"/>
    <col min="10" max="10" width="10.33203125" customWidth="1"/>
    <col min="11" max="11" width="11.88671875" customWidth="1"/>
    <col min="12" max="12" width="11.44140625" customWidth="1"/>
  </cols>
  <sheetData>
    <row r="1" spans="2:12" ht="15" thickBot="1" x14ac:dyDescent="0.35"/>
    <row r="2" spans="2:12" x14ac:dyDescent="0.3">
      <c r="B2" s="2" t="s">
        <v>0</v>
      </c>
      <c r="C2" s="3"/>
      <c r="D2" s="4" t="s">
        <v>48</v>
      </c>
      <c r="F2" s="2" t="s">
        <v>21</v>
      </c>
      <c r="G2" s="3"/>
      <c r="H2" s="4" t="s">
        <v>49</v>
      </c>
    </row>
    <row r="3" spans="2:12" x14ac:dyDescent="0.3">
      <c r="B3" s="5"/>
      <c r="C3" s="1"/>
      <c r="D3" s="6"/>
      <c r="F3" s="5"/>
      <c r="G3" s="1"/>
      <c r="H3" s="6"/>
    </row>
    <row r="4" spans="2:12" x14ac:dyDescent="0.3">
      <c r="B4" s="5"/>
      <c r="C4" s="1" t="s">
        <v>1</v>
      </c>
      <c r="D4" s="6" t="s">
        <v>2</v>
      </c>
      <c r="F4" s="5"/>
      <c r="G4" s="1" t="s">
        <v>1</v>
      </c>
      <c r="H4" s="6" t="s">
        <v>2</v>
      </c>
    </row>
    <row r="5" spans="2:12" x14ac:dyDescent="0.3">
      <c r="B5" s="5" t="s">
        <v>3</v>
      </c>
      <c r="C5" s="1">
        <v>261103.8</v>
      </c>
      <c r="D5" s="6">
        <v>245223.4</v>
      </c>
      <c r="F5" s="5" t="s">
        <v>23</v>
      </c>
      <c r="G5" s="1">
        <v>-2924.2</v>
      </c>
      <c r="H5" s="6">
        <v>5070.8</v>
      </c>
    </row>
    <row r="6" spans="2:12" x14ac:dyDescent="0.3">
      <c r="B6" s="5" t="s">
        <v>4</v>
      </c>
      <c r="C6" s="1">
        <v>149125.4</v>
      </c>
      <c r="D6" s="6">
        <v>164437.5</v>
      </c>
      <c r="F6" s="5" t="s">
        <v>24</v>
      </c>
      <c r="G6" s="1">
        <v>-2629.1</v>
      </c>
      <c r="H6" s="6">
        <v>-7051.7</v>
      </c>
    </row>
    <row r="7" spans="2:12" x14ac:dyDescent="0.3">
      <c r="B7" s="5" t="s">
        <v>5</v>
      </c>
      <c r="C7" s="1">
        <v>410647.9</v>
      </c>
      <c r="D7" s="6">
        <v>409874.9</v>
      </c>
      <c r="F7" s="5" t="s">
        <v>25</v>
      </c>
      <c r="G7" s="1">
        <v>4739.5</v>
      </c>
      <c r="H7" s="6">
        <v>1693.1</v>
      </c>
    </row>
    <row r="8" spans="2:12" ht="15" thickBot="1" x14ac:dyDescent="0.35">
      <c r="B8" s="5" t="s">
        <v>6</v>
      </c>
      <c r="C8" s="1">
        <v>129252.5</v>
      </c>
      <c r="D8" s="6">
        <v>88730.7</v>
      </c>
      <c r="F8" s="7" t="s">
        <v>26</v>
      </c>
      <c r="G8" s="8">
        <f>G5+G6+G7</f>
        <v>-813.79999999999927</v>
      </c>
      <c r="H8" s="9">
        <f>H5+H6+H7</f>
        <v>-287.79999999999973</v>
      </c>
    </row>
    <row r="9" spans="2:12" ht="15" thickBot="1" x14ac:dyDescent="0.35">
      <c r="B9" s="5" t="s">
        <v>7</v>
      </c>
      <c r="C9" s="1">
        <v>44445.1</v>
      </c>
      <c r="D9" s="6">
        <v>83654.399999999994</v>
      </c>
      <c r="F9" s="10"/>
      <c r="G9" s="11"/>
      <c r="H9" s="12"/>
    </row>
    <row r="10" spans="2:12" x14ac:dyDescent="0.3">
      <c r="B10" s="5" t="s">
        <v>8</v>
      </c>
      <c r="C10" s="1">
        <f>C8+C9</f>
        <v>173697.6</v>
      </c>
      <c r="D10" s="6">
        <f>D8+D9</f>
        <v>172385.09999999998</v>
      </c>
      <c r="F10" s="2" t="s">
        <v>34</v>
      </c>
      <c r="G10" s="3"/>
      <c r="H10" s="4"/>
    </row>
    <row r="11" spans="2:12" ht="15" thickBot="1" x14ac:dyDescent="0.35">
      <c r="B11" s="7" t="s">
        <v>9</v>
      </c>
      <c r="C11" s="8">
        <f>C7-C10</f>
        <v>236950.30000000002</v>
      </c>
      <c r="D11" s="9">
        <f>D7-D10</f>
        <v>237489.80000000005</v>
      </c>
      <c r="F11" s="5" t="s">
        <v>27</v>
      </c>
      <c r="G11" s="1">
        <f>C20/C16</f>
        <v>0.16632089303613676</v>
      </c>
      <c r="H11" s="6">
        <f>D20/D16</f>
        <v>8.2548763297626448E-2</v>
      </c>
    </row>
    <row r="12" spans="2:12" ht="15" thickBot="1" x14ac:dyDescent="0.35">
      <c r="F12" s="5" t="s">
        <v>28</v>
      </c>
      <c r="G12" s="1">
        <f>C22/C16</f>
        <v>0.1378038496827288</v>
      </c>
      <c r="H12" s="6">
        <f>D22/D16</f>
        <v>8.0162456610989336E-2</v>
      </c>
    </row>
    <row r="13" spans="2:12" x14ac:dyDescent="0.3">
      <c r="B13" s="2" t="s">
        <v>11</v>
      </c>
      <c r="C13" s="3"/>
      <c r="D13" s="4" t="s">
        <v>48</v>
      </c>
      <c r="F13" s="5" t="s">
        <v>35</v>
      </c>
      <c r="G13" s="1"/>
      <c r="H13" s="6"/>
      <c r="J13" s="2"/>
      <c r="K13" s="3" t="s">
        <v>1</v>
      </c>
      <c r="L13" s="4" t="s">
        <v>2</v>
      </c>
    </row>
    <row r="14" spans="2:12" x14ac:dyDescent="0.3">
      <c r="B14" s="5"/>
      <c r="C14" s="1"/>
      <c r="D14" s="6"/>
      <c r="F14" s="5" t="s">
        <v>29</v>
      </c>
      <c r="G14" s="1">
        <f>C22/C11</f>
        <v>0.12062360756665004</v>
      </c>
      <c r="H14" s="6">
        <f>D22/D11</f>
        <v>7.1191268003931107E-2</v>
      </c>
      <c r="J14" s="5" t="s">
        <v>40</v>
      </c>
      <c r="K14" s="1">
        <v>34236.199999999997</v>
      </c>
      <c r="L14" s="6">
        <v>39891.9</v>
      </c>
    </row>
    <row r="15" spans="2:12" x14ac:dyDescent="0.3">
      <c r="B15" s="5"/>
      <c r="C15" s="1" t="s">
        <v>1</v>
      </c>
      <c r="D15" s="6" t="s">
        <v>2</v>
      </c>
      <c r="F15" s="5" t="s">
        <v>30</v>
      </c>
      <c r="G15" s="1">
        <f>C20/(C7-C9)</f>
        <v>9.4200535877934297E-2</v>
      </c>
      <c r="H15" s="6">
        <f>D20/(D7-D9)</f>
        <v>5.3370343065503242E-2</v>
      </c>
      <c r="J15" s="5" t="s">
        <v>41</v>
      </c>
      <c r="K15" s="1">
        <v>88341.6</v>
      </c>
      <c r="L15" s="6">
        <v>71250.2</v>
      </c>
    </row>
    <row r="16" spans="2:12" x14ac:dyDescent="0.3">
      <c r="B16" s="5" t="s">
        <v>12</v>
      </c>
      <c r="C16" s="1">
        <v>207409.3</v>
      </c>
      <c r="D16" s="6">
        <v>210911.7</v>
      </c>
      <c r="F16" s="5" t="s">
        <v>31</v>
      </c>
      <c r="G16" s="1">
        <f>C22/C7</f>
        <v>6.9601719624038008E-2</v>
      </c>
      <c r="H16" s="6">
        <f>D22/D7</f>
        <v>4.1249659347278887E-2</v>
      </c>
      <c r="J16" s="5" t="s">
        <v>42</v>
      </c>
      <c r="K16" s="1">
        <v>11.9</v>
      </c>
      <c r="L16" s="6">
        <v>7</v>
      </c>
    </row>
    <row r="17" spans="2:12" x14ac:dyDescent="0.3">
      <c r="B17" s="5" t="s">
        <v>17</v>
      </c>
      <c r="C17" s="1">
        <v>9944.1</v>
      </c>
      <c r="D17" s="6">
        <v>11264.6</v>
      </c>
      <c r="F17" s="5" t="s">
        <v>36</v>
      </c>
      <c r="G17" s="1"/>
      <c r="H17" s="6"/>
      <c r="J17" s="5" t="s">
        <v>44</v>
      </c>
      <c r="K17" s="1">
        <f>(K16-L16)/K16</f>
        <v>0.41176470588235298</v>
      </c>
      <c r="L17" s="6"/>
    </row>
    <row r="18" spans="2:12" x14ac:dyDescent="0.3">
      <c r="B18" s="5" t="s">
        <v>18</v>
      </c>
      <c r="C18" s="1">
        <f>C16-C17</f>
        <v>197465.19999999998</v>
      </c>
      <c r="D18" s="6">
        <f>D16-D17</f>
        <v>199647.1</v>
      </c>
      <c r="F18" s="5" t="s">
        <v>32</v>
      </c>
      <c r="G18" s="1">
        <f>C10/C11</f>
        <v>0.73305499085673242</v>
      </c>
      <c r="H18" s="6">
        <f>D10/D11</f>
        <v>0.72586317391315314</v>
      </c>
      <c r="J18" s="5" t="s">
        <v>43</v>
      </c>
      <c r="K18" s="1">
        <f>1500/K16</f>
        <v>126.05042016806722</v>
      </c>
      <c r="L18" s="6"/>
    </row>
    <row r="19" spans="2:12" ht="15" thickBot="1" x14ac:dyDescent="0.35">
      <c r="B19" s="5" t="s">
        <v>13</v>
      </c>
      <c r="C19" s="1">
        <f>170722.6-C17</f>
        <v>160778.5</v>
      </c>
      <c r="D19" s="6">
        <f>164123.3-D17</f>
        <v>152858.69999999998</v>
      </c>
      <c r="F19" s="5" t="s">
        <v>33</v>
      </c>
      <c r="G19" s="1">
        <f>C10/C7</f>
        <v>0.42298426462183297</v>
      </c>
      <c r="H19" s="6">
        <f>D10/D7</f>
        <v>0.42057979154127262</v>
      </c>
      <c r="J19" s="7" t="s">
        <v>45</v>
      </c>
      <c r="K19" s="8">
        <f>K18/K17</f>
        <v>306.12244897959181</v>
      </c>
      <c r="L19" s="9"/>
    </row>
    <row r="20" spans="2:12" x14ac:dyDescent="0.3">
      <c r="B20" s="5" t="s">
        <v>14</v>
      </c>
      <c r="C20" s="1">
        <v>34496.5</v>
      </c>
      <c r="D20" s="6">
        <v>17410.5</v>
      </c>
      <c r="F20" s="5" t="s">
        <v>37</v>
      </c>
      <c r="G20" s="1"/>
      <c r="H20" s="6"/>
    </row>
    <row r="21" spans="2:12" x14ac:dyDescent="0.3">
      <c r="B21" s="5" t="s">
        <v>15</v>
      </c>
      <c r="C21" s="1">
        <v>5914.7</v>
      </c>
      <c r="D21" s="6">
        <v>503.3</v>
      </c>
      <c r="F21" s="5" t="s">
        <v>38</v>
      </c>
      <c r="G21" s="1">
        <f>C17/K14</f>
        <v>0.29045571646385993</v>
      </c>
      <c r="H21" s="6">
        <f>D17/L14</f>
        <v>0.28237812688791458</v>
      </c>
    </row>
    <row r="22" spans="2:12" ht="15" thickBot="1" x14ac:dyDescent="0.35">
      <c r="B22" s="5" t="s">
        <v>16</v>
      </c>
      <c r="C22" s="1">
        <f>C20-C21</f>
        <v>28581.8</v>
      </c>
      <c r="D22" s="6">
        <f>D20-D21</f>
        <v>16907.2</v>
      </c>
      <c r="F22" s="7" t="s">
        <v>39</v>
      </c>
      <c r="G22" s="8">
        <f>2*C16/(C7+D7)</f>
        <v>0.50555401994923233</v>
      </c>
      <c r="H22" s="9"/>
    </row>
    <row r="23" spans="2:12" x14ac:dyDescent="0.3">
      <c r="B23" s="5" t="s">
        <v>19</v>
      </c>
      <c r="C23" s="1">
        <v>-139.80000000000001</v>
      </c>
      <c r="D23" s="6">
        <v>-110.1</v>
      </c>
    </row>
    <row r="24" spans="2:12" ht="15" thickBot="1" x14ac:dyDescent="0.35">
      <c r="B24" s="7" t="s">
        <v>20</v>
      </c>
      <c r="C24" s="8">
        <f>C22+C23</f>
        <v>28442</v>
      </c>
      <c r="D24" s="9">
        <f>D22+D23</f>
        <v>16797.100000000002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01851-D762-4408-A75E-86706C94422F}">
  <dimension ref="B1:L24"/>
  <sheetViews>
    <sheetView topLeftCell="E1" zoomScale="99" workbookViewId="0">
      <selection activeCell="G8" sqref="G8"/>
    </sheetView>
  </sheetViews>
  <sheetFormatPr defaultRowHeight="14.4" x14ac:dyDescent="0.3"/>
  <cols>
    <col min="2" max="2" width="19.5546875" customWidth="1"/>
    <col min="3" max="3" width="11.5546875" customWidth="1"/>
    <col min="4" max="4" width="10.88671875" customWidth="1"/>
    <col min="6" max="6" width="21.21875" customWidth="1"/>
    <col min="7" max="7" width="11.77734375" customWidth="1"/>
    <col min="8" max="8" width="12.109375" customWidth="1"/>
    <col min="10" max="10" width="10.33203125" customWidth="1"/>
    <col min="11" max="11" width="11.88671875" customWidth="1"/>
    <col min="12" max="12" width="11.44140625" customWidth="1"/>
  </cols>
  <sheetData>
    <row r="1" spans="2:12" ht="15" thickBot="1" x14ac:dyDescent="0.35"/>
    <row r="2" spans="2:12" x14ac:dyDescent="0.3">
      <c r="B2" s="2" t="s">
        <v>0</v>
      </c>
      <c r="C2" s="3"/>
      <c r="D2" s="4" t="s">
        <v>48</v>
      </c>
      <c r="F2" s="2" t="s">
        <v>21</v>
      </c>
      <c r="G2" s="3"/>
      <c r="H2" s="4" t="s">
        <v>49</v>
      </c>
    </row>
    <row r="3" spans="2:12" x14ac:dyDescent="0.3">
      <c r="B3" s="5"/>
      <c r="C3" s="1"/>
      <c r="D3" s="6"/>
      <c r="F3" s="5"/>
      <c r="G3" s="1"/>
      <c r="H3" s="6"/>
    </row>
    <row r="4" spans="2:12" x14ac:dyDescent="0.3">
      <c r="B4" s="5"/>
      <c r="C4" s="1" t="s">
        <v>1</v>
      </c>
      <c r="D4" s="6" t="s">
        <v>2</v>
      </c>
      <c r="F4" s="5"/>
      <c r="G4" s="1" t="s">
        <v>1</v>
      </c>
      <c r="H4" s="6" t="s">
        <v>2</v>
      </c>
    </row>
    <row r="5" spans="2:12" x14ac:dyDescent="0.3">
      <c r="B5" s="5" t="s">
        <v>3</v>
      </c>
      <c r="C5" s="1">
        <v>14948.9</v>
      </c>
      <c r="D5" s="6">
        <v>15099.99</v>
      </c>
      <c r="F5" s="5" t="s">
        <v>23</v>
      </c>
      <c r="G5" s="1">
        <v>4775.99</v>
      </c>
      <c r="H5" s="6">
        <v>4275.3100000000004</v>
      </c>
    </row>
    <row r="6" spans="2:12" x14ac:dyDescent="0.3">
      <c r="B6" s="5" t="s">
        <v>4</v>
      </c>
      <c r="C6" s="1">
        <v>9205.5</v>
      </c>
      <c r="D6" s="6">
        <v>8101.73</v>
      </c>
      <c r="F6" s="5" t="s">
        <v>24</v>
      </c>
      <c r="G6" s="1">
        <v>319.11</v>
      </c>
      <c r="H6" s="6">
        <v>-2884.71</v>
      </c>
    </row>
    <row r="7" spans="2:12" x14ac:dyDescent="0.3">
      <c r="B7" s="5" t="s">
        <v>5</v>
      </c>
      <c r="C7" s="1">
        <f>C5+C6</f>
        <v>24154.400000000001</v>
      </c>
      <c r="D7" s="6">
        <f>D5+D6</f>
        <v>23201.72</v>
      </c>
      <c r="F7" s="5" t="s">
        <v>25</v>
      </c>
      <c r="G7" s="1">
        <v>-4039.96</v>
      </c>
      <c r="H7" s="6">
        <v>-2700.48</v>
      </c>
    </row>
    <row r="8" spans="2:12" ht="15" thickBot="1" x14ac:dyDescent="0.35">
      <c r="B8" s="5" t="s">
        <v>6</v>
      </c>
      <c r="C8" s="1">
        <v>913.36</v>
      </c>
      <c r="D8" s="6">
        <v>1981.47</v>
      </c>
      <c r="F8" s="7" t="s">
        <v>26</v>
      </c>
      <c r="G8" s="8">
        <f>G5+G6+G7</f>
        <v>1055.1399999999994</v>
      </c>
      <c r="H8" s="9">
        <f>H5+H6+H7</f>
        <v>-1309.8799999999997</v>
      </c>
    </row>
    <row r="9" spans="2:12" ht="15" thickBot="1" x14ac:dyDescent="0.35">
      <c r="B9" s="5" t="s">
        <v>7</v>
      </c>
      <c r="C9" s="1">
        <v>4244.42</v>
      </c>
      <c r="D9" s="6">
        <v>4321.6099999999997</v>
      </c>
      <c r="F9" s="10"/>
      <c r="G9" s="11"/>
      <c r="H9" s="12"/>
    </row>
    <row r="10" spans="2:12" x14ac:dyDescent="0.3">
      <c r="B10" s="5" t="s">
        <v>8</v>
      </c>
      <c r="C10" s="1">
        <f>C8+C9</f>
        <v>5157.78</v>
      </c>
      <c r="D10" s="6">
        <f>D8+D9</f>
        <v>6303.08</v>
      </c>
      <c r="F10" s="2" t="s">
        <v>34</v>
      </c>
      <c r="G10" s="3"/>
      <c r="H10" s="4"/>
    </row>
    <row r="11" spans="2:12" ht="15" thickBot="1" x14ac:dyDescent="0.35">
      <c r="B11" s="7" t="s">
        <v>9</v>
      </c>
      <c r="C11" s="8">
        <f>C7-C10</f>
        <v>18996.620000000003</v>
      </c>
      <c r="D11" s="9">
        <f>D7-D10</f>
        <v>16898.64</v>
      </c>
      <c r="F11" s="5" t="s">
        <v>27</v>
      </c>
      <c r="G11" s="1">
        <f>C20/C16</f>
        <v>0.25456616724161063</v>
      </c>
      <c r="H11" s="6">
        <f>D20/D16</f>
        <v>0.21525696314777784</v>
      </c>
    </row>
    <row r="12" spans="2:12" ht="15" thickBot="1" x14ac:dyDescent="0.35">
      <c r="F12" s="5" t="s">
        <v>28</v>
      </c>
      <c r="G12" s="1">
        <f>C22/C16</f>
        <v>0.18963778526827646</v>
      </c>
      <c r="H12" s="6">
        <f>D22/D16</f>
        <v>0.16102289563402228</v>
      </c>
    </row>
    <row r="13" spans="2:12" x14ac:dyDescent="0.3">
      <c r="B13" s="2" t="s">
        <v>11</v>
      </c>
      <c r="C13" s="3"/>
      <c r="D13" s="4" t="s">
        <v>48</v>
      </c>
      <c r="F13" s="5" t="s">
        <v>35</v>
      </c>
      <c r="G13" s="1"/>
      <c r="H13" s="6"/>
      <c r="J13" s="2"/>
      <c r="K13" s="3" t="s">
        <v>1</v>
      </c>
      <c r="L13" s="4" t="s">
        <v>2</v>
      </c>
    </row>
    <row r="14" spans="2:12" x14ac:dyDescent="0.3">
      <c r="B14" s="5"/>
      <c r="C14" s="1"/>
      <c r="D14" s="6"/>
      <c r="F14" s="5" t="s">
        <v>29</v>
      </c>
      <c r="G14" s="1">
        <f>C22/C11</f>
        <v>0.20233599450849668</v>
      </c>
      <c r="H14" s="6">
        <f>D22/D11</f>
        <v>0.17300682185075242</v>
      </c>
      <c r="J14" s="5" t="s">
        <v>40</v>
      </c>
      <c r="K14" s="1">
        <v>275.17</v>
      </c>
      <c r="L14" s="6">
        <v>233.36</v>
      </c>
    </row>
    <row r="15" spans="2:12" x14ac:dyDescent="0.3">
      <c r="B15" s="5"/>
      <c r="C15" s="1" t="s">
        <v>1</v>
      </c>
      <c r="D15" s="6" t="s">
        <v>2</v>
      </c>
      <c r="F15" s="5" t="s">
        <v>30</v>
      </c>
      <c r="G15" s="1">
        <f>C20/(C7-C9)</f>
        <v>0.25915194289497018</v>
      </c>
      <c r="H15" s="6">
        <f>D20/(D7-D9)</f>
        <v>0.20700462020613219</v>
      </c>
      <c r="J15" s="5" t="s">
        <v>41</v>
      </c>
      <c r="K15" s="1">
        <v>777.92</v>
      </c>
      <c r="L15" s="6">
        <v>633.24</v>
      </c>
    </row>
    <row r="16" spans="2:12" x14ac:dyDescent="0.3">
      <c r="B16" s="5" t="s">
        <v>12</v>
      </c>
      <c r="C16" s="1">
        <v>20268.64</v>
      </c>
      <c r="D16" s="6">
        <v>18156.3</v>
      </c>
      <c r="F16" s="5" t="s">
        <v>31</v>
      </c>
      <c r="G16" s="1">
        <f>C22/C7</f>
        <v>0.15913042758255219</v>
      </c>
      <c r="H16" s="6">
        <f>D22/D7</f>
        <v>0.12600703740929545</v>
      </c>
      <c r="J16" s="5" t="s">
        <v>42</v>
      </c>
      <c r="K16" s="1">
        <v>46.18</v>
      </c>
      <c r="L16" s="6">
        <v>35.17</v>
      </c>
    </row>
    <row r="17" spans="2:12" x14ac:dyDescent="0.3">
      <c r="B17" s="5" t="s">
        <v>17</v>
      </c>
      <c r="C17" s="1">
        <v>3907.56</v>
      </c>
      <c r="D17" s="6">
        <v>3896.36</v>
      </c>
      <c r="F17" s="5" t="s">
        <v>36</v>
      </c>
      <c r="G17" s="1"/>
      <c r="H17" s="6"/>
      <c r="J17" s="5" t="s">
        <v>44</v>
      </c>
      <c r="K17" s="1">
        <f>(K16-L16)/K16</f>
        <v>0.23841489822433951</v>
      </c>
      <c r="L17" s="6"/>
    </row>
    <row r="18" spans="2:12" x14ac:dyDescent="0.3">
      <c r="B18" s="5" t="s">
        <v>18</v>
      </c>
      <c r="C18" s="1">
        <f>C16-C17</f>
        <v>16361.08</v>
      </c>
      <c r="D18" s="6">
        <f>D16-D17</f>
        <v>14259.939999999999</v>
      </c>
      <c r="F18" s="5" t="s">
        <v>32</v>
      </c>
      <c r="G18" s="1">
        <f>C10/C11</f>
        <v>0.27151040553530043</v>
      </c>
      <c r="H18" s="6">
        <f>D10/D11</f>
        <v>0.37299332964072851</v>
      </c>
      <c r="J18" s="5" t="s">
        <v>43</v>
      </c>
      <c r="K18" s="1">
        <f>2900/K16</f>
        <v>62.797747942832395</v>
      </c>
      <c r="L18" s="6"/>
    </row>
    <row r="19" spans="2:12" ht="15" thickBot="1" x14ac:dyDescent="0.35">
      <c r="B19" s="5" t="s">
        <v>13</v>
      </c>
      <c r="C19" s="1">
        <f>15108.93-C17</f>
        <v>11201.37</v>
      </c>
      <c r="D19" s="6">
        <f>14248.03-D17</f>
        <v>10351.67</v>
      </c>
      <c r="F19" s="5" t="s">
        <v>33</v>
      </c>
      <c r="G19" s="1">
        <f>C10/C7</f>
        <v>0.21353376610472624</v>
      </c>
      <c r="H19" s="6">
        <f>D10/D7</f>
        <v>0.27166434212635959</v>
      </c>
      <c r="J19" s="7" t="s">
        <v>45</v>
      </c>
      <c r="K19" s="8">
        <f>K18/K17</f>
        <v>263.39691189827431</v>
      </c>
      <c r="L19" s="9"/>
    </row>
    <row r="20" spans="2:12" x14ac:dyDescent="0.3">
      <c r="B20" s="5" t="s">
        <v>14</v>
      </c>
      <c r="C20" s="1">
        <f>C18-C19</f>
        <v>5159.7099999999991</v>
      </c>
      <c r="D20" s="6">
        <f>D18-D19</f>
        <v>3908.2699999999986</v>
      </c>
      <c r="F20" s="5" t="s">
        <v>37</v>
      </c>
      <c r="G20" s="1"/>
      <c r="H20" s="6"/>
    </row>
    <row r="21" spans="2:12" x14ac:dyDescent="0.3">
      <c r="B21" s="5" t="s">
        <v>15</v>
      </c>
      <c r="C21" s="1">
        <v>1316.01</v>
      </c>
      <c r="D21" s="6">
        <v>984.69</v>
      </c>
      <c r="F21" s="5" t="s">
        <v>38</v>
      </c>
      <c r="G21" s="1">
        <f>C17/K14</f>
        <v>14.200530581095322</v>
      </c>
      <c r="H21" s="6">
        <f>D17/L14</f>
        <v>16.696777511141583</v>
      </c>
    </row>
    <row r="22" spans="2:12" ht="15" thickBot="1" x14ac:dyDescent="0.35">
      <c r="B22" s="5" t="s">
        <v>16</v>
      </c>
      <c r="C22" s="1">
        <f>C20-C21</f>
        <v>3843.6999999999989</v>
      </c>
      <c r="D22" s="6">
        <f>D20-D21</f>
        <v>2923.5799999999986</v>
      </c>
      <c r="F22" s="7" t="s">
        <v>39</v>
      </c>
      <c r="G22" s="8">
        <f>2*C16/(C7+D7)</f>
        <v>0.85600931833097804</v>
      </c>
      <c r="H22" s="9"/>
    </row>
    <row r="23" spans="2:12" x14ac:dyDescent="0.3">
      <c r="B23" s="5" t="s">
        <v>19</v>
      </c>
      <c r="C23" s="1">
        <v>-2.74</v>
      </c>
      <c r="D23" s="6">
        <v>19.39</v>
      </c>
    </row>
    <row r="24" spans="2:12" ht="15" thickBot="1" x14ac:dyDescent="0.35">
      <c r="B24" s="7" t="s">
        <v>20</v>
      </c>
      <c r="C24" s="8">
        <f>C22+C23</f>
        <v>3840.9599999999991</v>
      </c>
      <c r="D24" s="9">
        <f>D22+D23</f>
        <v>2942.9699999999984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88BE3-628A-4673-B813-F8AC4EA835ED}">
  <dimension ref="B1:L24"/>
  <sheetViews>
    <sheetView zoomScale="99" workbookViewId="0">
      <selection activeCell="H8" sqref="H8"/>
    </sheetView>
  </sheetViews>
  <sheetFormatPr defaultRowHeight="14.4" x14ac:dyDescent="0.3"/>
  <cols>
    <col min="2" max="2" width="19.5546875" customWidth="1"/>
    <col min="3" max="3" width="11.5546875" customWidth="1"/>
    <col min="4" max="4" width="10.88671875" customWidth="1"/>
    <col min="6" max="6" width="21.21875" customWidth="1"/>
    <col min="7" max="7" width="11.77734375" customWidth="1"/>
    <col min="8" max="8" width="12.109375" customWidth="1"/>
    <col min="10" max="10" width="10.33203125" customWidth="1"/>
    <col min="11" max="11" width="11.88671875" customWidth="1"/>
    <col min="12" max="12" width="11.44140625" customWidth="1"/>
  </cols>
  <sheetData>
    <row r="1" spans="2:12" ht="15" thickBot="1" x14ac:dyDescent="0.35"/>
    <row r="2" spans="2:12" x14ac:dyDescent="0.3">
      <c r="B2" s="2" t="s">
        <v>0</v>
      </c>
      <c r="C2" s="3"/>
      <c r="D2" s="4" t="s">
        <v>10</v>
      </c>
      <c r="F2" s="2" t="s">
        <v>21</v>
      </c>
      <c r="G2" s="3"/>
      <c r="H2" s="4" t="s">
        <v>22</v>
      </c>
    </row>
    <row r="3" spans="2:12" x14ac:dyDescent="0.3">
      <c r="B3" s="5"/>
      <c r="C3" s="1"/>
      <c r="D3" s="6"/>
      <c r="F3" s="5"/>
      <c r="G3" s="1"/>
      <c r="H3" s="6"/>
    </row>
    <row r="4" spans="2:12" x14ac:dyDescent="0.3">
      <c r="B4" s="5"/>
      <c r="C4" s="1" t="s">
        <v>2</v>
      </c>
      <c r="D4" s="6" t="s">
        <v>46</v>
      </c>
      <c r="F4" s="5"/>
      <c r="G4" s="1" t="s">
        <v>2</v>
      </c>
      <c r="H4" s="6" t="s">
        <v>46</v>
      </c>
    </row>
    <row r="5" spans="2:12" x14ac:dyDescent="0.3">
      <c r="B5" s="5" t="s">
        <v>3</v>
      </c>
      <c r="C5" s="1">
        <v>14225.34</v>
      </c>
      <c r="D5" s="6">
        <v>14015.14</v>
      </c>
      <c r="F5" s="5" t="s">
        <v>23</v>
      </c>
      <c r="G5" s="1">
        <v>3035.05</v>
      </c>
      <c r="H5" s="6">
        <v>2773.43</v>
      </c>
    </row>
    <row r="6" spans="2:12" x14ac:dyDescent="0.3">
      <c r="B6" s="5" t="s">
        <v>4</v>
      </c>
      <c r="C6" s="1">
        <v>13371.13</v>
      </c>
      <c r="D6" s="6">
        <f>11335.04+98.87</f>
        <v>11433.910000000002</v>
      </c>
      <c r="F6" s="5" t="s">
        <v>24</v>
      </c>
      <c r="G6" s="1">
        <v>-2757.95</v>
      </c>
      <c r="H6" s="6">
        <v>-2463.73</v>
      </c>
    </row>
    <row r="7" spans="2:12" x14ac:dyDescent="0.3">
      <c r="B7" s="5" t="s">
        <v>5</v>
      </c>
      <c r="C7" s="1">
        <f>C5+C6</f>
        <v>27596.47</v>
      </c>
      <c r="D7" s="6">
        <f>D5+D6</f>
        <v>25449.050000000003</v>
      </c>
      <c r="F7" s="5" t="s">
        <v>25</v>
      </c>
      <c r="G7" s="1">
        <v>-424.77</v>
      </c>
      <c r="H7" s="6">
        <v>-426.72</v>
      </c>
    </row>
    <row r="8" spans="2:12" ht="15" thickBot="1" x14ac:dyDescent="0.35">
      <c r="B8" s="5" t="s">
        <v>6</v>
      </c>
      <c r="C8" s="1">
        <v>258.64</v>
      </c>
      <c r="D8" s="6">
        <v>276.16000000000003</v>
      </c>
      <c r="F8" s="7" t="s">
        <v>26</v>
      </c>
      <c r="G8" s="8">
        <f>G5+G6+G7</f>
        <v>-147.66999999999962</v>
      </c>
      <c r="H8" s="9">
        <f>H5+H6+H7</f>
        <v>-117.02000000000021</v>
      </c>
    </row>
    <row r="9" spans="2:12" ht="15" thickBot="1" x14ac:dyDescent="0.35">
      <c r="B9" s="5" t="s">
        <v>7</v>
      </c>
      <c r="C9" s="1">
        <v>2699.74</v>
      </c>
      <c r="D9" s="6">
        <f>2632.37+26.97</f>
        <v>2659.3399999999997</v>
      </c>
      <c r="F9" s="10"/>
      <c r="G9" s="11"/>
      <c r="H9" s="12"/>
    </row>
    <row r="10" spans="2:12" x14ac:dyDescent="0.3">
      <c r="B10" s="5" t="s">
        <v>8</v>
      </c>
      <c r="C10" s="1">
        <f>C8+C9</f>
        <v>2958.3799999999997</v>
      </c>
      <c r="D10" s="6">
        <f>D8+D9</f>
        <v>2935.4999999999995</v>
      </c>
      <c r="F10" s="2" t="s">
        <v>34</v>
      </c>
      <c r="G10" s="3"/>
      <c r="H10" s="4"/>
    </row>
    <row r="11" spans="2:12" ht="15" thickBot="1" x14ac:dyDescent="0.35">
      <c r="B11" s="7" t="s">
        <v>9</v>
      </c>
      <c r="C11" s="8">
        <f>C7-C10</f>
        <v>24638.09</v>
      </c>
      <c r="D11" s="9">
        <f>D7-D10</f>
        <v>22513.550000000003</v>
      </c>
      <c r="F11" s="5" t="s">
        <v>27</v>
      </c>
      <c r="G11" s="1">
        <f>C20/C16</f>
        <v>0.21175955030315632</v>
      </c>
      <c r="H11" s="6">
        <f>D20/D16</f>
        <v>0.23706965313020334</v>
      </c>
    </row>
    <row r="12" spans="2:12" ht="15" thickBot="1" x14ac:dyDescent="0.35">
      <c r="F12" s="5" t="s">
        <v>28</v>
      </c>
      <c r="G12" s="1">
        <f>C22/C16</f>
        <v>0.15469992411088795</v>
      </c>
      <c r="H12" s="6">
        <f>D22/D16</f>
        <v>0.18432318514013379</v>
      </c>
    </row>
    <row r="13" spans="2:12" x14ac:dyDescent="0.3">
      <c r="B13" s="2" t="s">
        <v>11</v>
      </c>
      <c r="C13" s="3"/>
      <c r="D13" s="4" t="s">
        <v>10</v>
      </c>
      <c r="F13" s="5" t="s">
        <v>35</v>
      </c>
      <c r="G13" s="1"/>
      <c r="H13" s="6"/>
      <c r="J13" s="2"/>
      <c r="K13" s="3" t="s">
        <v>2</v>
      </c>
      <c r="L13" s="4" t="s">
        <v>46</v>
      </c>
    </row>
    <row r="14" spans="2:12" x14ac:dyDescent="0.3">
      <c r="B14" s="5"/>
      <c r="C14" s="1"/>
      <c r="D14" s="6"/>
      <c r="F14" s="5" t="s">
        <v>29</v>
      </c>
      <c r="G14" s="1">
        <f>C22/C11</f>
        <v>0.10201561890552392</v>
      </c>
      <c r="H14" s="6">
        <f>D22/D11</f>
        <v>0.13138443293039079</v>
      </c>
      <c r="J14" s="5" t="s">
        <v>40</v>
      </c>
      <c r="K14" s="1">
        <v>3277.36</v>
      </c>
      <c r="L14" s="6">
        <v>3485.81</v>
      </c>
    </row>
    <row r="15" spans="2:12" x14ac:dyDescent="0.3">
      <c r="B15" s="5"/>
      <c r="C15" s="1" t="s">
        <v>2</v>
      </c>
      <c r="D15" s="6" t="s">
        <v>46</v>
      </c>
      <c r="F15" s="5" t="s">
        <v>30</v>
      </c>
      <c r="G15" s="1">
        <f>C20/(C7-C9)</f>
        <v>0.13819244535326522</v>
      </c>
      <c r="H15" s="6">
        <f>D20/(D7-D9)</f>
        <v>0.16693411193034052</v>
      </c>
      <c r="J15" s="5" t="s">
        <v>41</v>
      </c>
      <c r="K15" s="1">
        <v>2888.49</v>
      </c>
      <c r="L15" s="6">
        <v>2794.48</v>
      </c>
    </row>
    <row r="16" spans="2:12" x14ac:dyDescent="0.3">
      <c r="B16" s="5" t="s">
        <v>12</v>
      </c>
      <c r="C16" s="1">
        <v>16247.39</v>
      </c>
      <c r="D16" s="6">
        <v>16047.52</v>
      </c>
      <c r="F16" s="5" t="s">
        <v>31</v>
      </c>
      <c r="G16" s="1">
        <f>C22/C7</f>
        <v>9.107940254677499E-2</v>
      </c>
      <c r="H16" s="6">
        <f>D22/D7</f>
        <v>0.11622948597295378</v>
      </c>
      <c r="J16" s="5" t="s">
        <v>42</v>
      </c>
      <c r="K16" s="1">
        <v>31.12</v>
      </c>
      <c r="L16" s="6">
        <v>36.630000000000003</v>
      </c>
    </row>
    <row r="17" spans="2:12" x14ac:dyDescent="0.3">
      <c r="B17" s="5" t="s">
        <v>17</v>
      </c>
      <c r="C17" s="1">
        <v>1993.39</v>
      </c>
      <c r="D17" s="6">
        <v>2850.85</v>
      </c>
      <c r="F17" s="5" t="s">
        <v>36</v>
      </c>
      <c r="G17" s="1"/>
      <c r="H17" s="6"/>
      <c r="J17" s="5" t="s">
        <v>44</v>
      </c>
      <c r="K17" s="1">
        <f>(K16-L16)/K16</f>
        <v>-0.17705655526992292</v>
      </c>
      <c r="L17" s="6"/>
    </row>
    <row r="18" spans="2:12" x14ac:dyDescent="0.3">
      <c r="B18" s="5" t="s">
        <v>18</v>
      </c>
      <c r="C18" s="1">
        <f>C16-C17</f>
        <v>14254</v>
      </c>
      <c r="D18" s="6">
        <f>D16-D17</f>
        <v>13196.67</v>
      </c>
      <c r="F18" s="5" t="s">
        <v>32</v>
      </c>
      <c r="G18" s="1">
        <f>C10/C11</f>
        <v>0.12007343101677118</v>
      </c>
      <c r="H18" s="6">
        <f>D10/D11</f>
        <v>0.13038814402881815</v>
      </c>
      <c r="J18" s="5" t="s">
        <v>43</v>
      </c>
      <c r="K18" s="1">
        <f>1400/K16</f>
        <v>44.987146529562978</v>
      </c>
      <c r="L18" s="6"/>
    </row>
    <row r="19" spans="2:12" ht="15" thickBot="1" x14ac:dyDescent="0.35">
      <c r="B19" s="5" t="s">
        <v>13</v>
      </c>
      <c r="C19" s="1">
        <f>12620.95-C17+185.9</f>
        <v>10813.460000000001</v>
      </c>
      <c r="D19" s="6">
        <f>12243.14-D17</f>
        <v>9392.2899999999991</v>
      </c>
      <c r="F19" s="5" t="s">
        <v>33</v>
      </c>
      <c r="G19" s="1">
        <f>C10/C7</f>
        <v>0.10720139206210068</v>
      </c>
      <c r="H19" s="6">
        <f>D10/D7</f>
        <v>0.11534811712028541</v>
      </c>
      <c r="J19" s="7" t="s">
        <v>45</v>
      </c>
      <c r="K19" s="8">
        <f>K18/K17</f>
        <v>-254.08348457350263</v>
      </c>
      <c r="L19" s="9"/>
    </row>
    <row r="20" spans="2:12" x14ac:dyDescent="0.3">
      <c r="B20" s="5" t="s">
        <v>14</v>
      </c>
      <c r="C20" s="1">
        <f>C18-C19</f>
        <v>3440.5399999999991</v>
      </c>
      <c r="D20" s="6">
        <f>D18-D19</f>
        <v>3804.380000000001</v>
      </c>
      <c r="F20" s="5" t="s">
        <v>37</v>
      </c>
      <c r="G20" s="1"/>
      <c r="H20" s="6"/>
    </row>
    <row r="21" spans="2:12" x14ac:dyDescent="0.3">
      <c r="B21" s="5" t="s">
        <v>15</v>
      </c>
      <c r="C21" s="1">
        <v>971.01</v>
      </c>
      <c r="D21" s="6">
        <v>921.8</v>
      </c>
      <c r="F21" s="5" t="s">
        <v>38</v>
      </c>
      <c r="G21" s="1">
        <f>C17/K14</f>
        <v>0.60823040496008984</v>
      </c>
      <c r="H21" s="6">
        <f>D17/L14</f>
        <v>0.81784434607738232</v>
      </c>
    </row>
    <row r="22" spans="2:12" ht="15" thickBot="1" x14ac:dyDescent="0.35">
      <c r="B22" s="5" t="s">
        <v>16</v>
      </c>
      <c r="C22" s="1">
        <v>2513.4699999999998</v>
      </c>
      <c r="D22" s="6">
        <v>2957.93</v>
      </c>
      <c r="F22" s="7" t="s">
        <v>39</v>
      </c>
      <c r="G22" s="8">
        <f>2*C16/(C7+D7)</f>
        <v>0.61258292877513498</v>
      </c>
      <c r="H22" s="9"/>
    </row>
    <row r="23" spans="2:12" x14ac:dyDescent="0.3">
      <c r="B23" s="5" t="s">
        <v>19</v>
      </c>
      <c r="C23" s="1">
        <v>-8.9700000000000006</v>
      </c>
      <c r="D23" s="6">
        <v>6.1</v>
      </c>
    </row>
    <row r="24" spans="2:12" ht="15" thickBot="1" x14ac:dyDescent="0.35">
      <c r="B24" s="7" t="s">
        <v>20</v>
      </c>
      <c r="C24" s="8">
        <f>C22+C23</f>
        <v>2504.5</v>
      </c>
      <c r="D24" s="9">
        <f>D22+D23</f>
        <v>2964.0299999999997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E2F4D-C648-412F-BC46-7E461ABB092E}">
  <dimension ref="B1:L24"/>
  <sheetViews>
    <sheetView topLeftCell="E1" zoomScale="99" workbookViewId="0">
      <selection activeCell="G8" sqref="G8"/>
    </sheetView>
  </sheetViews>
  <sheetFormatPr defaultRowHeight="14.4" x14ac:dyDescent="0.3"/>
  <cols>
    <col min="2" max="2" width="19.5546875" customWidth="1"/>
    <col min="3" max="3" width="11.5546875" customWidth="1"/>
    <col min="4" max="4" width="10.88671875" customWidth="1"/>
    <col min="6" max="6" width="21.21875" customWidth="1"/>
    <col min="7" max="7" width="11.77734375" customWidth="1"/>
    <col min="8" max="8" width="12.109375" customWidth="1"/>
    <col min="10" max="10" width="10.33203125" customWidth="1"/>
    <col min="11" max="11" width="11.88671875" customWidth="1"/>
    <col min="12" max="12" width="11.44140625" customWidth="1"/>
  </cols>
  <sheetData>
    <row r="1" spans="2:12" ht="15" thickBot="1" x14ac:dyDescent="0.35"/>
    <row r="2" spans="2:12" x14ac:dyDescent="0.3">
      <c r="B2" s="2" t="s">
        <v>0</v>
      </c>
      <c r="C2" s="3"/>
      <c r="D2" s="4" t="s">
        <v>10</v>
      </c>
      <c r="F2" s="2" t="s">
        <v>21</v>
      </c>
      <c r="G2" s="3"/>
      <c r="H2" s="4" t="s">
        <v>22</v>
      </c>
    </row>
    <row r="3" spans="2:12" x14ac:dyDescent="0.3">
      <c r="B3" s="5"/>
      <c r="C3" s="1"/>
      <c r="D3" s="6"/>
      <c r="F3" s="5"/>
      <c r="G3" s="1"/>
      <c r="H3" s="6"/>
    </row>
    <row r="4" spans="2:12" x14ac:dyDescent="0.3">
      <c r="B4" s="5"/>
      <c r="C4" s="1" t="s">
        <v>2</v>
      </c>
      <c r="D4" s="6" t="s">
        <v>46</v>
      </c>
      <c r="F4" s="5"/>
      <c r="G4" s="1" t="s">
        <v>2</v>
      </c>
      <c r="H4" s="6" t="s">
        <v>46</v>
      </c>
    </row>
    <row r="5" spans="2:12" x14ac:dyDescent="0.3">
      <c r="B5" s="5" t="s">
        <v>3</v>
      </c>
      <c r="C5" s="1">
        <v>8944.85</v>
      </c>
      <c r="D5" s="6">
        <v>7092.51</v>
      </c>
      <c r="F5" s="5" t="s">
        <v>23</v>
      </c>
      <c r="G5" s="1">
        <v>2265.41</v>
      </c>
      <c r="H5" s="6">
        <v>2140.1</v>
      </c>
    </row>
    <row r="6" spans="2:12" x14ac:dyDescent="0.3">
      <c r="B6" s="5" t="s">
        <v>4</v>
      </c>
      <c r="C6" s="1">
        <v>3927.08</v>
      </c>
      <c r="D6" s="6">
        <v>4060.05</v>
      </c>
      <c r="F6" s="5" t="s">
        <v>24</v>
      </c>
      <c r="G6" s="1">
        <v>-2384.0700000000002</v>
      </c>
      <c r="H6" s="6">
        <v>-159.69999999999999</v>
      </c>
    </row>
    <row r="7" spans="2:12" x14ac:dyDescent="0.3">
      <c r="B7" s="5" t="s">
        <v>5</v>
      </c>
      <c r="C7" s="1">
        <f>C5+C6</f>
        <v>12871.93</v>
      </c>
      <c r="D7" s="6">
        <f>D5+D6</f>
        <v>11152.560000000001</v>
      </c>
      <c r="F7" s="5" t="s">
        <v>25</v>
      </c>
      <c r="G7" s="1">
        <v>80.739999999999995</v>
      </c>
      <c r="H7" s="6">
        <v>-1977.27</v>
      </c>
    </row>
    <row r="8" spans="2:12" ht="15" thickBot="1" x14ac:dyDescent="0.35">
      <c r="B8" s="5" t="s">
        <v>6</v>
      </c>
      <c r="C8" s="1">
        <v>3006.82</v>
      </c>
      <c r="D8" s="6">
        <v>2383.7800000000002</v>
      </c>
      <c r="F8" s="7" t="s">
        <v>26</v>
      </c>
      <c r="G8" s="8">
        <f>G5+G6+G7</f>
        <v>-37.920000000000314</v>
      </c>
      <c r="H8" s="9">
        <f>H5+H6+H7</f>
        <v>3.1299999999998818</v>
      </c>
    </row>
    <row r="9" spans="2:12" ht="15" thickBot="1" x14ac:dyDescent="0.35">
      <c r="B9" s="5" t="s">
        <v>7</v>
      </c>
      <c r="C9" s="1">
        <v>3409.15</v>
      </c>
      <c r="D9" s="6">
        <v>2423.36</v>
      </c>
      <c r="F9" s="10"/>
      <c r="G9" s="11"/>
      <c r="H9" s="12"/>
    </row>
    <row r="10" spans="2:12" x14ac:dyDescent="0.3">
      <c r="B10" s="5" t="s">
        <v>8</v>
      </c>
      <c r="C10" s="1">
        <f>C8+C9</f>
        <v>6415.97</v>
      </c>
      <c r="D10" s="6">
        <f>D8+D9</f>
        <v>4807.1400000000003</v>
      </c>
      <c r="F10" s="2" t="s">
        <v>34</v>
      </c>
      <c r="G10" s="3"/>
      <c r="H10" s="4"/>
    </row>
    <row r="11" spans="2:12" ht="15" thickBot="1" x14ac:dyDescent="0.35">
      <c r="B11" s="7" t="s">
        <v>9</v>
      </c>
      <c r="C11" s="8">
        <f>C7-C10</f>
        <v>6455.96</v>
      </c>
      <c r="D11" s="9">
        <f>D7-D10</f>
        <v>6345.420000000001</v>
      </c>
      <c r="F11" s="5" t="s">
        <v>27</v>
      </c>
      <c r="G11" s="1">
        <f>C20/C16</f>
        <v>0.20277790636074214</v>
      </c>
      <c r="H11" s="6">
        <f>D20/D16</f>
        <v>0.21107206661205877</v>
      </c>
    </row>
    <row r="12" spans="2:12" ht="15" thickBot="1" x14ac:dyDescent="0.35">
      <c r="F12" s="5" t="s">
        <v>28</v>
      </c>
      <c r="G12" s="1">
        <f>C22/C16</f>
        <v>0.13519084283561444</v>
      </c>
      <c r="H12" s="6">
        <f>D22/D16</f>
        <v>0.14272675840604393</v>
      </c>
    </row>
    <row r="13" spans="2:12" x14ac:dyDescent="0.3">
      <c r="B13" s="2" t="s">
        <v>11</v>
      </c>
      <c r="C13" s="3"/>
      <c r="D13" s="4" t="s">
        <v>10</v>
      </c>
      <c r="F13" s="5" t="s">
        <v>35</v>
      </c>
      <c r="G13" s="1"/>
      <c r="H13" s="6"/>
      <c r="J13" s="2"/>
      <c r="K13" s="3" t="s">
        <v>2</v>
      </c>
      <c r="L13" s="4" t="s">
        <v>46</v>
      </c>
    </row>
    <row r="14" spans="2:12" x14ac:dyDescent="0.3">
      <c r="B14" s="5"/>
      <c r="C14" s="1"/>
      <c r="D14" s="6"/>
      <c r="F14" s="5" t="s">
        <v>29</v>
      </c>
      <c r="G14" s="1">
        <f>C22/C11</f>
        <v>0.16285571781733474</v>
      </c>
      <c r="H14" s="6">
        <f>D22/D11</f>
        <v>0.15624655263166187</v>
      </c>
      <c r="J14" s="5" t="s">
        <v>40</v>
      </c>
      <c r="K14" s="1">
        <v>1602.23</v>
      </c>
      <c r="L14" s="6">
        <v>1797.11</v>
      </c>
    </row>
    <row r="15" spans="2:12" x14ac:dyDescent="0.3">
      <c r="B15" s="5"/>
      <c r="C15" s="1" t="s">
        <v>2</v>
      </c>
      <c r="D15" s="6" t="s">
        <v>46</v>
      </c>
      <c r="F15" s="5" t="s">
        <v>30</v>
      </c>
      <c r="G15" s="1">
        <f>C20/(C7-C9)</f>
        <v>0.16665504217576657</v>
      </c>
      <c r="H15" s="6">
        <f>D20/(D7-D9)</f>
        <v>0.16796613664482427</v>
      </c>
      <c r="J15" s="5" t="s">
        <v>41</v>
      </c>
      <c r="K15" s="1">
        <v>1729.44</v>
      </c>
      <c r="L15" s="6">
        <v>1541.35</v>
      </c>
    </row>
    <row r="16" spans="2:12" x14ac:dyDescent="0.3">
      <c r="B16" s="5" t="s">
        <v>12</v>
      </c>
      <c r="C16" s="1">
        <v>7777.08</v>
      </c>
      <c r="D16" s="6">
        <v>6946.49</v>
      </c>
      <c r="F16" s="5" t="s">
        <v>31</v>
      </c>
      <c r="G16" s="1">
        <f>C22/C7</f>
        <v>8.1680835741027205E-2</v>
      </c>
      <c r="H16" s="6">
        <f>D22/D7</f>
        <v>8.8898871649199823E-2</v>
      </c>
      <c r="J16" s="5" t="s">
        <v>42</v>
      </c>
      <c r="K16" s="1">
        <v>31.07</v>
      </c>
      <c r="L16" s="6">
        <v>29.29</v>
      </c>
    </row>
    <row r="17" spans="2:12" x14ac:dyDescent="0.3">
      <c r="B17" s="5" t="s">
        <v>17</v>
      </c>
      <c r="C17" s="1">
        <v>533.55999999999995</v>
      </c>
      <c r="D17" s="6">
        <v>397.24</v>
      </c>
      <c r="F17" s="5" t="s">
        <v>36</v>
      </c>
      <c r="G17" s="1"/>
      <c r="H17" s="6"/>
      <c r="J17" s="5" t="s">
        <v>44</v>
      </c>
      <c r="K17" s="1">
        <f>(K16-L16)/K16</f>
        <v>5.7289990344383687E-2</v>
      </c>
      <c r="L17" s="6"/>
    </row>
    <row r="18" spans="2:12" x14ac:dyDescent="0.3">
      <c r="B18" s="5" t="s">
        <v>18</v>
      </c>
      <c r="C18" s="1">
        <f>C16-C17</f>
        <v>7243.52</v>
      </c>
      <c r="D18" s="6">
        <f>D16-D17</f>
        <v>6549.25</v>
      </c>
      <c r="F18" s="5" t="s">
        <v>32</v>
      </c>
      <c r="G18" s="1">
        <f>C10/C11</f>
        <v>0.99380572370336873</v>
      </c>
      <c r="H18" s="6">
        <f>D10/D11</f>
        <v>0.75757633064477992</v>
      </c>
      <c r="J18" s="5" t="s">
        <v>43</v>
      </c>
      <c r="K18" s="1">
        <f>2900/K16</f>
        <v>93.337624718377853</v>
      </c>
      <c r="L18" s="6"/>
    </row>
    <row r="19" spans="2:12" ht="15" thickBot="1" x14ac:dyDescent="0.35">
      <c r="B19" s="5" t="s">
        <v>13</v>
      </c>
      <c r="C19" s="1">
        <f>6200.06-C17</f>
        <v>5666.5</v>
      </c>
      <c r="D19" s="6">
        <f>5480.28-D17</f>
        <v>5083.04</v>
      </c>
      <c r="F19" s="5" t="s">
        <v>33</v>
      </c>
      <c r="G19" s="1">
        <f>C10/C7</f>
        <v>0.49844661989305411</v>
      </c>
      <c r="H19" s="6">
        <f>D10/D7</f>
        <v>0.43103466827347264</v>
      </c>
      <c r="J19" s="7" t="s">
        <v>45</v>
      </c>
      <c r="K19" s="8">
        <f>K18/K17</f>
        <v>1629.2134831460662</v>
      </c>
      <c r="L19" s="9"/>
    </row>
    <row r="20" spans="2:12" x14ac:dyDescent="0.3">
      <c r="B20" s="5" t="s">
        <v>14</v>
      </c>
      <c r="C20" s="1">
        <f>C18-C19</f>
        <v>1577.0200000000004</v>
      </c>
      <c r="D20" s="6">
        <f>D18-D19</f>
        <v>1466.21</v>
      </c>
      <c r="F20" s="5" t="s">
        <v>37</v>
      </c>
      <c r="G20" s="1"/>
      <c r="H20" s="6"/>
    </row>
    <row r="21" spans="2:12" x14ac:dyDescent="0.3">
      <c r="B21" s="5" t="s">
        <v>15</v>
      </c>
      <c r="C21" s="1">
        <v>525.63</v>
      </c>
      <c r="D21" s="6">
        <v>474.76</v>
      </c>
      <c r="F21" s="5" t="s">
        <v>38</v>
      </c>
      <c r="G21" s="1">
        <f>C17/K14</f>
        <v>0.33301086610536562</v>
      </c>
      <c r="H21" s="6">
        <f>D17/L14</f>
        <v>0.22104378696907814</v>
      </c>
    </row>
    <row r="22" spans="2:12" ht="15" thickBot="1" x14ac:dyDescent="0.35">
      <c r="B22" s="5" t="s">
        <v>16</v>
      </c>
      <c r="C22" s="1">
        <f>C20-C21</f>
        <v>1051.3900000000003</v>
      </c>
      <c r="D22" s="6">
        <f>D20-D21</f>
        <v>991.45</v>
      </c>
      <c r="F22" s="7" t="s">
        <v>39</v>
      </c>
      <c r="G22" s="8">
        <f>2*C16/(C7+D7)</f>
        <v>0.64742935229842546</v>
      </c>
      <c r="H22" s="9"/>
    </row>
    <row r="23" spans="2:12" x14ac:dyDescent="0.3">
      <c r="B23" s="5" t="s">
        <v>19</v>
      </c>
      <c r="C23" s="1">
        <v>-77.83</v>
      </c>
      <c r="D23" s="6">
        <v>0.76</v>
      </c>
    </row>
    <row r="24" spans="2:12" ht="15" thickBot="1" x14ac:dyDescent="0.35">
      <c r="B24" s="7" t="s">
        <v>20</v>
      </c>
      <c r="C24" s="8">
        <f>C22+C23</f>
        <v>973.56000000000029</v>
      </c>
      <c r="D24" s="9">
        <f>D22+D23</f>
        <v>992.21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092D3-ABB5-40C9-9262-25B76498DBCD}">
  <dimension ref="B1:L24"/>
  <sheetViews>
    <sheetView zoomScale="99" workbookViewId="0">
      <selection activeCell="H8" sqref="H8"/>
    </sheetView>
  </sheetViews>
  <sheetFormatPr defaultRowHeight="14.4" x14ac:dyDescent="0.3"/>
  <cols>
    <col min="2" max="2" width="19.5546875" customWidth="1"/>
    <col min="3" max="3" width="11.5546875" customWidth="1"/>
    <col min="4" max="4" width="10.88671875" customWidth="1"/>
    <col min="6" max="6" width="21.21875" customWidth="1"/>
    <col min="7" max="7" width="11.77734375" customWidth="1"/>
    <col min="8" max="8" width="12.109375" customWidth="1"/>
    <col min="10" max="10" width="10.33203125" customWidth="1"/>
    <col min="11" max="11" width="11.88671875" customWidth="1"/>
    <col min="12" max="12" width="11.44140625" customWidth="1"/>
  </cols>
  <sheetData>
    <row r="1" spans="2:12" ht="15" thickBot="1" x14ac:dyDescent="0.35"/>
    <row r="2" spans="2:12" x14ac:dyDescent="0.3">
      <c r="B2" s="2" t="s">
        <v>0</v>
      </c>
      <c r="C2" s="3"/>
      <c r="D2" s="4" t="s">
        <v>10</v>
      </c>
      <c r="F2" s="2" t="s">
        <v>21</v>
      </c>
      <c r="G2" s="3"/>
      <c r="H2" s="4" t="s">
        <v>22</v>
      </c>
    </row>
    <row r="3" spans="2:12" x14ac:dyDescent="0.3">
      <c r="B3" s="5"/>
      <c r="C3" s="1"/>
      <c r="D3" s="6"/>
      <c r="F3" s="5"/>
      <c r="G3" s="1"/>
      <c r="H3" s="6"/>
    </row>
    <row r="4" spans="2:12" x14ac:dyDescent="0.3">
      <c r="B4" s="5"/>
      <c r="C4" s="1" t="s">
        <v>2</v>
      </c>
      <c r="D4" s="6" t="s">
        <v>46</v>
      </c>
      <c r="F4" s="5"/>
      <c r="G4" s="1" t="s">
        <v>2</v>
      </c>
      <c r="H4" s="6" t="s">
        <v>46</v>
      </c>
    </row>
    <row r="5" spans="2:12" x14ac:dyDescent="0.3">
      <c r="B5" s="5" t="s">
        <v>3</v>
      </c>
      <c r="C5" s="1">
        <v>3787.19</v>
      </c>
      <c r="D5" s="6">
        <v>3562.22</v>
      </c>
      <c r="F5" s="5" t="s">
        <v>23</v>
      </c>
      <c r="G5" s="1">
        <v>245.86</v>
      </c>
      <c r="H5" s="6">
        <v>78.34</v>
      </c>
    </row>
    <row r="6" spans="2:12" x14ac:dyDescent="0.3">
      <c r="B6" s="5" t="s">
        <v>4</v>
      </c>
      <c r="C6" s="1">
        <v>314.88</v>
      </c>
      <c r="D6" s="6">
        <v>199.78</v>
      </c>
      <c r="F6" s="5" t="s">
        <v>24</v>
      </c>
      <c r="G6" s="1">
        <v>-331.95</v>
      </c>
      <c r="H6" s="6">
        <v>-49.17</v>
      </c>
    </row>
    <row r="7" spans="2:12" x14ac:dyDescent="0.3">
      <c r="B7" s="5" t="s">
        <v>5</v>
      </c>
      <c r="C7" s="1">
        <f>C5+C6</f>
        <v>4102.07</v>
      </c>
      <c r="D7" s="6">
        <f>D5+D6</f>
        <v>3762</v>
      </c>
      <c r="F7" s="5" t="s">
        <v>25</v>
      </c>
      <c r="G7" s="1">
        <v>92.2</v>
      </c>
      <c r="H7" s="6">
        <v>-17.690000000000001</v>
      </c>
    </row>
    <row r="8" spans="2:12" ht="15" thickBot="1" x14ac:dyDescent="0.35">
      <c r="B8" s="5" t="s">
        <v>6</v>
      </c>
      <c r="C8" s="1">
        <v>565.85</v>
      </c>
      <c r="D8" s="6">
        <v>463.95</v>
      </c>
      <c r="F8" s="7" t="s">
        <v>26</v>
      </c>
      <c r="G8" s="8">
        <f>G5+G6+G7</f>
        <v>6.1100000000000279</v>
      </c>
      <c r="H8" s="9">
        <f>H5+H6+H7</f>
        <v>11.48</v>
      </c>
    </row>
    <row r="9" spans="2:12" ht="15" thickBot="1" x14ac:dyDescent="0.35">
      <c r="B9" s="5" t="s">
        <v>7</v>
      </c>
      <c r="C9" s="1">
        <v>405.66</v>
      </c>
      <c r="D9" s="6">
        <v>342.84</v>
      </c>
      <c r="F9" s="10"/>
      <c r="G9" s="11"/>
      <c r="H9" s="12"/>
    </row>
    <row r="10" spans="2:12" x14ac:dyDescent="0.3">
      <c r="B10" s="5" t="s">
        <v>8</v>
      </c>
      <c r="C10" s="1">
        <f>C8+C9</f>
        <v>971.51</v>
      </c>
      <c r="D10" s="6">
        <f>D8+D9</f>
        <v>806.79</v>
      </c>
      <c r="F10" s="2" t="s">
        <v>34</v>
      </c>
      <c r="G10" s="3"/>
      <c r="H10" s="4"/>
    </row>
    <row r="11" spans="2:12" ht="15" thickBot="1" x14ac:dyDescent="0.35">
      <c r="B11" s="7" t="s">
        <v>9</v>
      </c>
      <c r="C11" s="8">
        <f>C7-C10</f>
        <v>3130.5599999999995</v>
      </c>
      <c r="D11" s="9">
        <f>D7-D10</f>
        <v>2955.21</v>
      </c>
      <c r="F11" s="5" t="s">
        <v>27</v>
      </c>
      <c r="G11" s="1">
        <f>C20/C16</f>
        <v>0.11514294194542499</v>
      </c>
      <c r="H11" s="6">
        <f>D20/D16</f>
        <v>7.5049846913662663E-2</v>
      </c>
    </row>
    <row r="12" spans="2:12" ht="15" thickBot="1" x14ac:dyDescent="0.35">
      <c r="F12" s="5" t="s">
        <v>28</v>
      </c>
      <c r="G12" s="1">
        <f>C22/C16</f>
        <v>0.10943410524720396</v>
      </c>
      <c r="H12" s="6">
        <f>D22/D16</f>
        <v>7.5233383666897496E-2</v>
      </c>
    </row>
    <row r="13" spans="2:12" x14ac:dyDescent="0.3">
      <c r="B13" s="2" t="s">
        <v>11</v>
      </c>
      <c r="C13" s="3"/>
      <c r="D13" s="4" t="s">
        <v>10</v>
      </c>
      <c r="F13" s="5" t="s">
        <v>35</v>
      </c>
      <c r="G13" s="1"/>
      <c r="H13" s="6"/>
      <c r="J13" s="2"/>
      <c r="K13" s="3" t="s">
        <v>2</v>
      </c>
      <c r="L13" s="4" t="s">
        <v>46</v>
      </c>
    </row>
    <row r="14" spans="2:12" x14ac:dyDescent="0.3">
      <c r="B14" s="5"/>
      <c r="C14" s="1"/>
      <c r="D14" s="6"/>
      <c r="F14" s="5" t="s">
        <v>29</v>
      </c>
      <c r="G14" s="1">
        <f>C22/C11</f>
        <v>5.535431360523356E-2</v>
      </c>
      <c r="H14" s="6">
        <f>D22/D11</f>
        <v>3.0515597876293068E-2</v>
      </c>
      <c r="J14" s="5" t="s">
        <v>40</v>
      </c>
      <c r="K14" s="1">
        <v>34.28</v>
      </c>
      <c r="L14" s="6">
        <v>23.63</v>
      </c>
    </row>
    <row r="15" spans="2:12" x14ac:dyDescent="0.3">
      <c r="B15" s="5"/>
      <c r="C15" s="1" t="s">
        <v>2</v>
      </c>
      <c r="D15" s="6" t="s">
        <v>46</v>
      </c>
      <c r="F15" s="5" t="s">
        <v>30</v>
      </c>
      <c r="G15" s="1">
        <f>C20/(C7-C9)</f>
        <v>4.9326238160810068E-2</v>
      </c>
      <c r="H15" s="6">
        <f>D20/(D7-D9)</f>
        <v>2.6310555809029131E-2</v>
      </c>
      <c r="J15" s="5" t="s">
        <v>41</v>
      </c>
      <c r="K15" s="1">
        <v>111.33</v>
      </c>
      <c r="L15" s="6">
        <v>61.55</v>
      </c>
    </row>
    <row r="16" spans="2:12" x14ac:dyDescent="0.3">
      <c r="B16" s="5" t="s">
        <v>12</v>
      </c>
      <c r="C16" s="1">
        <v>1583.51</v>
      </c>
      <c r="D16" s="6">
        <v>1198.67</v>
      </c>
      <c r="F16" s="5" t="s">
        <v>31</v>
      </c>
      <c r="G16" s="1">
        <f>C22/C7</f>
        <v>4.2244525325018822E-2</v>
      </c>
      <c r="H16" s="6">
        <f>D22/D7</f>
        <v>2.3971291866028716E-2</v>
      </c>
      <c r="J16" s="5" t="s">
        <v>42</v>
      </c>
      <c r="K16" s="1">
        <v>3.48</v>
      </c>
      <c r="L16" s="6">
        <v>1.81</v>
      </c>
    </row>
    <row r="17" spans="2:12" x14ac:dyDescent="0.3">
      <c r="B17" s="5" t="s">
        <v>17</v>
      </c>
      <c r="C17" s="1">
        <v>336.63</v>
      </c>
      <c r="D17" s="6">
        <v>277.64</v>
      </c>
      <c r="F17" s="5" t="s">
        <v>36</v>
      </c>
      <c r="G17" s="1"/>
      <c r="H17" s="6"/>
      <c r="J17" s="5" t="s">
        <v>44</v>
      </c>
      <c r="K17" s="1">
        <f>(K16-L16)/K16</f>
        <v>0.47988505747126436</v>
      </c>
      <c r="L17" s="6"/>
    </row>
    <row r="18" spans="2:12" x14ac:dyDescent="0.3">
      <c r="B18" s="5" t="s">
        <v>18</v>
      </c>
      <c r="C18" s="1">
        <f>C16-C17</f>
        <v>1246.8800000000001</v>
      </c>
      <c r="D18" s="6">
        <f>D16-D17</f>
        <v>921.03000000000009</v>
      </c>
      <c r="F18" s="5" t="s">
        <v>32</v>
      </c>
      <c r="G18" s="1">
        <f>C10/C11</f>
        <v>0.31033105897986307</v>
      </c>
      <c r="H18" s="6">
        <f>D10/D11</f>
        <v>0.27300597927050868</v>
      </c>
      <c r="J18" s="5" t="s">
        <v>43</v>
      </c>
      <c r="K18" s="1">
        <f>300/K16</f>
        <v>86.206896551724142</v>
      </c>
      <c r="L18" s="6"/>
    </row>
    <row r="19" spans="2:12" ht="15" thickBot="1" x14ac:dyDescent="0.35">
      <c r="B19" s="5" t="s">
        <v>13</v>
      </c>
      <c r="C19" s="1">
        <f>1401.18-C17</f>
        <v>1064.5500000000002</v>
      </c>
      <c r="D19" s="6">
        <f>1108.71-D17</f>
        <v>831.07</v>
      </c>
      <c r="F19" s="5" t="s">
        <v>33</v>
      </c>
      <c r="G19" s="1">
        <f>C10/C7</f>
        <v>0.23683408620525737</v>
      </c>
      <c r="H19" s="6">
        <f>D10/D7</f>
        <v>0.21445773524720893</v>
      </c>
      <c r="J19" s="7" t="s">
        <v>45</v>
      </c>
      <c r="K19" s="8">
        <f>K18/K17</f>
        <v>179.64071856287427</v>
      </c>
      <c r="L19" s="9"/>
    </row>
    <row r="20" spans="2:12" x14ac:dyDescent="0.3">
      <c r="B20" s="5" t="s">
        <v>14</v>
      </c>
      <c r="C20" s="1">
        <f>C18-C19</f>
        <v>182.32999999999993</v>
      </c>
      <c r="D20" s="6">
        <f>D18-D19</f>
        <v>89.960000000000036</v>
      </c>
      <c r="F20" s="5" t="s">
        <v>37</v>
      </c>
      <c r="G20" s="1"/>
      <c r="H20" s="6"/>
    </row>
    <row r="21" spans="2:12" x14ac:dyDescent="0.3">
      <c r="B21" s="5" t="s">
        <v>15</v>
      </c>
      <c r="C21" s="1">
        <v>9.0399999999999991</v>
      </c>
      <c r="D21" s="6">
        <v>-0.22</v>
      </c>
      <c r="F21" s="5" t="s">
        <v>38</v>
      </c>
      <c r="G21" s="1">
        <f>C17/K14</f>
        <v>9.8200116686114356</v>
      </c>
      <c r="H21" s="6">
        <f>D17/L14</f>
        <v>11.749471011426152</v>
      </c>
    </row>
    <row r="22" spans="2:12" ht="15" thickBot="1" x14ac:dyDescent="0.35">
      <c r="B22" s="5" t="s">
        <v>16</v>
      </c>
      <c r="C22" s="1">
        <f>C20-C21</f>
        <v>173.28999999999994</v>
      </c>
      <c r="D22" s="6">
        <f>D20-D21</f>
        <v>90.180000000000035</v>
      </c>
      <c r="F22" s="7" t="s">
        <v>39</v>
      </c>
      <c r="G22" s="8">
        <f>2*C16/(C7+D7)</f>
        <v>0.40272021993700463</v>
      </c>
      <c r="H22" s="9"/>
    </row>
    <row r="23" spans="2:12" x14ac:dyDescent="0.3">
      <c r="B23" s="5" t="s">
        <v>19</v>
      </c>
      <c r="C23" s="1">
        <f>0.6-0.19</f>
        <v>0.41</v>
      </c>
      <c r="D23" s="6">
        <f>0.68-0.22</f>
        <v>0.46000000000000008</v>
      </c>
    </row>
    <row r="24" spans="2:12" ht="15" thickBot="1" x14ac:dyDescent="0.35">
      <c r="B24" s="7" t="s">
        <v>20</v>
      </c>
      <c r="C24" s="8">
        <f>C22+C23</f>
        <v>173.69999999999993</v>
      </c>
      <c r="D24" s="9">
        <f>D22+D23</f>
        <v>90.640000000000029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8CBE9-F5F6-4263-B7A2-77A3D15F3DF9}">
  <dimension ref="B1:L24"/>
  <sheetViews>
    <sheetView topLeftCell="E1" zoomScale="99" workbookViewId="0">
      <selection activeCell="H14" sqref="H14"/>
    </sheetView>
  </sheetViews>
  <sheetFormatPr defaultRowHeight="14.4" x14ac:dyDescent="0.3"/>
  <cols>
    <col min="2" max="2" width="19.5546875" customWidth="1"/>
    <col min="3" max="3" width="11.5546875" customWidth="1"/>
    <col min="4" max="4" width="10.88671875" customWidth="1"/>
    <col min="6" max="6" width="21.21875" customWidth="1"/>
    <col min="7" max="7" width="11.77734375" customWidth="1"/>
    <col min="8" max="8" width="12.109375" customWidth="1"/>
    <col min="10" max="10" width="10.33203125" customWidth="1"/>
    <col min="11" max="11" width="11.88671875" customWidth="1"/>
    <col min="12" max="12" width="11.44140625" customWidth="1"/>
  </cols>
  <sheetData>
    <row r="1" spans="2:12" ht="15" thickBot="1" x14ac:dyDescent="0.35"/>
    <row r="2" spans="2:12" x14ac:dyDescent="0.3">
      <c r="B2" s="2" t="s">
        <v>0</v>
      </c>
      <c r="C2" s="3"/>
      <c r="D2" s="4" t="s">
        <v>48</v>
      </c>
      <c r="F2" s="2" t="s">
        <v>21</v>
      </c>
      <c r="G2" s="3"/>
      <c r="H2" s="4" t="s">
        <v>49</v>
      </c>
    </row>
    <row r="3" spans="2:12" x14ac:dyDescent="0.3">
      <c r="B3" s="5"/>
      <c r="C3" s="1"/>
      <c r="D3" s="6"/>
      <c r="F3" s="5"/>
      <c r="G3" s="1"/>
      <c r="H3" s="6"/>
    </row>
    <row r="4" spans="2:12" x14ac:dyDescent="0.3">
      <c r="B4" s="5"/>
      <c r="C4" s="1" t="s">
        <v>2</v>
      </c>
      <c r="D4" s="6" t="s">
        <v>46</v>
      </c>
      <c r="F4" s="5"/>
      <c r="G4" s="1" t="s">
        <v>2</v>
      </c>
      <c r="H4" s="6" t="s">
        <v>46</v>
      </c>
    </row>
    <row r="5" spans="2:12" x14ac:dyDescent="0.3">
      <c r="B5" s="5" t="s">
        <v>3</v>
      </c>
      <c r="C5" s="1">
        <v>76297</v>
      </c>
      <c r="D5" s="6">
        <v>69530</v>
      </c>
      <c r="F5" s="5" t="s">
        <v>23</v>
      </c>
      <c r="G5" s="1">
        <v>12245</v>
      </c>
      <c r="H5" s="6">
        <v>12009</v>
      </c>
    </row>
    <row r="6" spans="2:12" x14ac:dyDescent="0.3">
      <c r="B6" s="5" t="s">
        <v>4</v>
      </c>
      <c r="C6" s="1">
        <v>31507</v>
      </c>
      <c r="D6" s="6">
        <v>34552</v>
      </c>
      <c r="F6" s="5" t="s">
        <v>24</v>
      </c>
      <c r="G6" s="1">
        <v>-5885</v>
      </c>
      <c r="H6" s="6">
        <v>-5053</v>
      </c>
    </row>
    <row r="7" spans="2:12" x14ac:dyDescent="0.3">
      <c r="B7" s="5" t="s">
        <v>5</v>
      </c>
      <c r="C7" s="1">
        <f>C5+C6</f>
        <v>107804</v>
      </c>
      <c r="D7" s="6">
        <f>D5+D6</f>
        <v>104082</v>
      </c>
      <c r="F7" s="5" t="s">
        <v>25</v>
      </c>
      <c r="G7" s="1">
        <v>-7786</v>
      </c>
      <c r="H7" s="6">
        <v>-5766</v>
      </c>
    </row>
    <row r="8" spans="2:12" ht="15" thickBot="1" x14ac:dyDescent="0.35">
      <c r="B8" s="5" t="s">
        <v>6</v>
      </c>
      <c r="C8" s="1">
        <v>26123</v>
      </c>
      <c r="D8" s="6">
        <v>31083</v>
      </c>
      <c r="F8" s="7" t="s">
        <v>26</v>
      </c>
      <c r="G8" s="8">
        <f>G5+G6+G7</f>
        <v>-1426</v>
      </c>
      <c r="H8" s="9">
        <f>H5+H6+H7</f>
        <v>1190</v>
      </c>
    </row>
    <row r="9" spans="2:12" ht="15" thickBot="1" x14ac:dyDescent="0.35">
      <c r="B9" s="5" t="s">
        <v>7</v>
      </c>
      <c r="C9" s="1">
        <v>12433</v>
      </c>
      <c r="D9" s="6">
        <v>11892</v>
      </c>
      <c r="F9" s="10"/>
      <c r="G9" s="11"/>
      <c r="H9" s="12"/>
    </row>
    <row r="10" spans="2:12" x14ac:dyDescent="0.3">
      <c r="B10" s="5" t="s">
        <v>8</v>
      </c>
      <c r="C10" s="1">
        <f>C8+C9</f>
        <v>38556</v>
      </c>
      <c r="D10" s="6">
        <f>D8+D9</f>
        <v>42975</v>
      </c>
      <c r="F10" s="2" t="s">
        <v>34</v>
      </c>
      <c r="G10" s="3"/>
      <c r="H10" s="4"/>
    </row>
    <row r="11" spans="2:12" ht="15" thickBot="1" x14ac:dyDescent="0.35">
      <c r="B11" s="7" t="s">
        <v>9</v>
      </c>
      <c r="C11" s="8">
        <f>C7-C10</f>
        <v>69248</v>
      </c>
      <c r="D11" s="9">
        <f>D7-D10</f>
        <v>61107</v>
      </c>
      <c r="F11" s="5" t="s">
        <v>27</v>
      </c>
      <c r="G11" s="1">
        <f>C20/C16</f>
        <v>0.18385932327786347</v>
      </c>
      <c r="H11" s="6">
        <f>D20/D16</f>
        <v>0.1386913576228988</v>
      </c>
    </row>
    <row r="12" spans="2:12" ht="15" thickBot="1" x14ac:dyDescent="0.35">
      <c r="F12" s="5" t="s">
        <v>28</v>
      </c>
      <c r="G12" s="1">
        <f>C22/C16</f>
        <v>0.16248520887317824</v>
      </c>
      <c r="H12" s="6">
        <f>D22/D16</f>
        <v>9.3160626820496958E-2</v>
      </c>
    </row>
    <row r="13" spans="2:12" x14ac:dyDescent="0.3">
      <c r="B13" s="2" t="s">
        <v>11</v>
      </c>
      <c r="C13" s="3"/>
      <c r="D13" s="4" t="s">
        <v>48</v>
      </c>
      <c r="F13" s="5" t="s">
        <v>35</v>
      </c>
      <c r="G13" s="1"/>
      <c r="H13" s="6"/>
      <c r="J13" s="2"/>
      <c r="K13" s="3" t="s">
        <v>2</v>
      </c>
      <c r="L13" s="4" t="s">
        <v>46</v>
      </c>
    </row>
    <row r="14" spans="2:12" x14ac:dyDescent="0.3">
      <c r="B14" s="5"/>
      <c r="C14" s="1"/>
      <c r="D14" s="6"/>
      <c r="F14" s="5" t="s">
        <v>29</v>
      </c>
      <c r="G14" s="1">
        <f>C22/C11</f>
        <v>0.15665434380776341</v>
      </c>
      <c r="H14" s="6">
        <f>D22/D11</f>
        <v>9.368812083721996E-2</v>
      </c>
      <c r="J14" s="5" t="s">
        <v>40</v>
      </c>
      <c r="K14" s="1">
        <v>983</v>
      </c>
      <c r="L14" s="6">
        <v>1468</v>
      </c>
    </row>
    <row r="15" spans="2:12" x14ac:dyDescent="0.3">
      <c r="B15" s="5"/>
      <c r="C15" s="1" t="s">
        <v>2</v>
      </c>
      <c r="D15" s="6" t="s">
        <v>46</v>
      </c>
      <c r="F15" s="5" t="s">
        <v>30</v>
      </c>
      <c r="G15" s="1">
        <f>C20/(C7-C9)</f>
        <v>0.12870788814209772</v>
      </c>
      <c r="H15" s="6">
        <f>D20/(D7-D9)</f>
        <v>9.2450374227139601E-2</v>
      </c>
      <c r="J15" s="5" t="s">
        <v>41</v>
      </c>
      <c r="K15" s="1">
        <v>8200</v>
      </c>
      <c r="L15" s="6">
        <v>8242</v>
      </c>
    </row>
    <row r="16" spans="2:12" x14ac:dyDescent="0.3">
      <c r="B16" s="5" t="s">
        <v>12</v>
      </c>
      <c r="C16" s="1">
        <v>66763</v>
      </c>
      <c r="D16" s="6">
        <v>61453</v>
      </c>
      <c r="F16" s="5" t="s">
        <v>31</v>
      </c>
      <c r="G16" s="1">
        <f>C22/C7</f>
        <v>0.10062706393083745</v>
      </c>
      <c r="H16" s="6">
        <f>D22/D7</f>
        <v>5.50047078265214E-2</v>
      </c>
      <c r="J16" s="5" t="s">
        <v>42</v>
      </c>
      <c r="K16" s="1">
        <v>75.45</v>
      </c>
      <c r="L16" s="6">
        <v>46.25</v>
      </c>
    </row>
    <row r="17" spans="2:12" x14ac:dyDescent="0.3">
      <c r="B17" s="5" t="s">
        <v>17</v>
      </c>
      <c r="C17" s="1">
        <v>18611</v>
      </c>
      <c r="D17" s="6">
        <v>19293</v>
      </c>
      <c r="F17" s="5" t="s">
        <v>36</v>
      </c>
      <c r="G17" s="1"/>
      <c r="H17" s="6"/>
      <c r="J17" s="5" t="s">
        <v>44</v>
      </c>
      <c r="K17" s="1">
        <f>(K16-L16)/K16</f>
        <v>0.38701126573889993</v>
      </c>
      <c r="L17" s="6"/>
    </row>
    <row r="18" spans="2:12" x14ac:dyDescent="0.3">
      <c r="B18" s="5" t="s">
        <v>18</v>
      </c>
      <c r="C18" s="1">
        <f>C16-C17</f>
        <v>48152</v>
      </c>
      <c r="D18" s="6">
        <f>D16-D17</f>
        <v>42160</v>
      </c>
      <c r="F18" s="5" t="s">
        <v>32</v>
      </c>
      <c r="G18" s="1">
        <f>C10/C11</f>
        <v>0.5567814232902033</v>
      </c>
      <c r="H18" s="6">
        <f>D10/D11</f>
        <v>0.70327458392655506</v>
      </c>
      <c r="J18" s="5" t="s">
        <v>43</v>
      </c>
      <c r="K18" s="1">
        <f>6375/K16</f>
        <v>84.493041749502979</v>
      </c>
      <c r="L18" s="6"/>
    </row>
    <row r="19" spans="2:12" ht="15" thickBot="1" x14ac:dyDescent="0.35">
      <c r="B19" s="5" t="s">
        <v>13</v>
      </c>
      <c r="C19" s="1">
        <f>54488-C17</f>
        <v>35877</v>
      </c>
      <c r="D19" s="6">
        <f>52863-D17+67</f>
        <v>33637</v>
      </c>
      <c r="F19" s="5" t="s">
        <v>33</v>
      </c>
      <c r="G19" s="1">
        <f>C10/C7</f>
        <v>0.35764906682497866</v>
      </c>
      <c r="H19" s="6">
        <f>D10/D7</f>
        <v>0.41289560154493571</v>
      </c>
      <c r="J19" s="7" t="s">
        <v>45</v>
      </c>
      <c r="K19" s="8">
        <f>K18/K17</f>
        <v>218.32191780821915</v>
      </c>
      <c r="L19" s="9"/>
    </row>
    <row r="20" spans="2:12" x14ac:dyDescent="0.3">
      <c r="B20" s="5" t="s">
        <v>14</v>
      </c>
      <c r="C20" s="1">
        <f>C18-C19</f>
        <v>12275</v>
      </c>
      <c r="D20" s="6">
        <f>D18-D19</f>
        <v>8523</v>
      </c>
      <c r="F20" s="5" t="s">
        <v>37</v>
      </c>
      <c r="G20" s="1"/>
      <c r="H20" s="6"/>
    </row>
    <row r="21" spans="2:12" x14ac:dyDescent="0.3">
      <c r="B21" s="5" t="s">
        <v>15</v>
      </c>
      <c r="C21" s="1">
        <v>1427</v>
      </c>
      <c r="D21" s="6">
        <v>2798</v>
      </c>
      <c r="F21" s="5" t="s">
        <v>38</v>
      </c>
      <c r="G21" s="1">
        <f>C17/K14</f>
        <v>18.932858596134285</v>
      </c>
      <c r="H21" s="6">
        <f>D17/L14</f>
        <v>13.142370572207085</v>
      </c>
    </row>
    <row r="22" spans="2:12" ht="15" thickBot="1" x14ac:dyDescent="0.35">
      <c r="B22" s="5" t="s">
        <v>16</v>
      </c>
      <c r="C22" s="1">
        <f>C20-C21</f>
        <v>10848</v>
      </c>
      <c r="D22" s="6">
        <f>D20-D21</f>
        <v>5725</v>
      </c>
      <c r="F22" s="7" t="s">
        <v>39</v>
      </c>
      <c r="G22" s="8">
        <f>2*C16/(C7+D7)</f>
        <v>0.6301784922080742</v>
      </c>
      <c r="H22" s="9"/>
    </row>
    <row r="23" spans="2:12" x14ac:dyDescent="0.3">
      <c r="B23" s="5" t="s">
        <v>19</v>
      </c>
      <c r="C23" s="1">
        <v>-111</v>
      </c>
      <c r="D23" s="6">
        <v>-22</v>
      </c>
    </row>
    <row r="24" spans="2:12" ht="15" thickBot="1" x14ac:dyDescent="0.35">
      <c r="B24" s="7" t="s">
        <v>20</v>
      </c>
      <c r="C24" s="8">
        <f>C22+C23</f>
        <v>10737</v>
      </c>
      <c r="D24" s="9">
        <f>D22+D23</f>
        <v>5703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07C0A-D260-445D-822F-D8C6F11D9CAD}">
  <dimension ref="B1:L24"/>
  <sheetViews>
    <sheetView zoomScale="99" workbookViewId="0">
      <selection activeCell="G8" sqref="G8"/>
    </sheetView>
  </sheetViews>
  <sheetFormatPr defaultRowHeight="14.4" x14ac:dyDescent="0.3"/>
  <cols>
    <col min="2" max="2" width="19.5546875" customWidth="1"/>
    <col min="3" max="3" width="11.5546875" customWidth="1"/>
    <col min="4" max="4" width="10.88671875" customWidth="1"/>
    <col min="6" max="6" width="21.21875" customWidth="1"/>
    <col min="7" max="7" width="11.77734375" customWidth="1"/>
    <col min="8" max="8" width="12.109375" customWidth="1"/>
    <col min="10" max="10" width="10.33203125" customWidth="1"/>
    <col min="11" max="11" width="11.88671875" customWidth="1"/>
    <col min="12" max="12" width="11.44140625" customWidth="1"/>
  </cols>
  <sheetData>
    <row r="1" spans="2:12" ht="15" thickBot="1" x14ac:dyDescent="0.35"/>
    <row r="2" spans="2:12" x14ac:dyDescent="0.3">
      <c r="B2" s="2" t="s">
        <v>0</v>
      </c>
      <c r="C2" s="3"/>
      <c r="D2" s="4" t="s">
        <v>48</v>
      </c>
      <c r="F2" s="2" t="s">
        <v>21</v>
      </c>
      <c r="G2" s="3"/>
      <c r="H2" s="4" t="s">
        <v>49</v>
      </c>
    </row>
    <row r="3" spans="2:12" x14ac:dyDescent="0.3">
      <c r="B3" s="5"/>
      <c r="C3" s="1"/>
      <c r="D3" s="6"/>
      <c r="F3" s="5"/>
      <c r="G3" s="1"/>
      <c r="H3" s="6"/>
    </row>
    <row r="4" spans="2:12" x14ac:dyDescent="0.3">
      <c r="B4" s="5"/>
      <c r="C4" s="1" t="s">
        <v>2</v>
      </c>
      <c r="D4" s="6" t="s">
        <v>46</v>
      </c>
      <c r="F4" s="5"/>
      <c r="G4" s="1" t="s">
        <v>2</v>
      </c>
      <c r="H4" s="6" t="s">
        <v>46</v>
      </c>
    </row>
    <row r="5" spans="2:12" x14ac:dyDescent="0.3">
      <c r="B5" s="5" t="s">
        <v>3</v>
      </c>
      <c r="C5" s="1">
        <v>24763.43</v>
      </c>
      <c r="D5" s="6">
        <v>21871.33</v>
      </c>
      <c r="F5" s="5" t="s">
        <v>23</v>
      </c>
      <c r="G5" s="1">
        <v>5053.74</v>
      </c>
      <c r="H5" s="6">
        <v>4277.12</v>
      </c>
    </row>
    <row r="6" spans="2:12" x14ac:dyDescent="0.3">
      <c r="B6" s="5" t="s">
        <v>4</v>
      </c>
      <c r="C6" s="1">
        <v>21395.05</v>
      </c>
      <c r="D6" s="6">
        <v>21360.49</v>
      </c>
      <c r="F6" s="5" t="s">
        <v>24</v>
      </c>
      <c r="G6" s="1">
        <v>-2704.36</v>
      </c>
      <c r="H6" s="6">
        <v>-1889.97</v>
      </c>
    </row>
    <row r="7" spans="2:12" x14ac:dyDescent="0.3">
      <c r="B7" s="5" t="s">
        <v>5</v>
      </c>
      <c r="C7" s="1">
        <f>C5+C6</f>
        <v>46158.479999999996</v>
      </c>
      <c r="D7" s="6">
        <f>D5+D6</f>
        <v>43231.820000000007</v>
      </c>
      <c r="F7" s="5" t="s">
        <v>25</v>
      </c>
      <c r="G7" s="1">
        <v>-545.15</v>
      </c>
      <c r="H7" s="6">
        <v>-3429.61</v>
      </c>
    </row>
    <row r="8" spans="2:12" ht="15" thickBot="1" x14ac:dyDescent="0.35">
      <c r="B8" s="5" t="s">
        <v>6</v>
      </c>
      <c r="C8" s="1">
        <v>7776.48</v>
      </c>
      <c r="D8" s="6">
        <v>6765.89</v>
      </c>
      <c r="F8" s="7" t="s">
        <v>26</v>
      </c>
      <c r="G8" s="8">
        <f>G5+G6+G7</f>
        <v>1804.2299999999996</v>
      </c>
      <c r="H8" s="9">
        <f>H5+H6+H7</f>
        <v>-1042.4600000000005</v>
      </c>
    </row>
    <row r="9" spans="2:12" ht="15" thickBot="1" x14ac:dyDescent="0.35">
      <c r="B9" s="5" t="s">
        <v>7</v>
      </c>
      <c r="C9" s="1">
        <v>19963.32</v>
      </c>
      <c r="D9" s="6">
        <v>19340.64</v>
      </c>
      <c r="F9" s="10"/>
      <c r="G9" s="11"/>
      <c r="H9" s="12"/>
    </row>
    <row r="10" spans="2:12" x14ac:dyDescent="0.3">
      <c r="B10" s="5" t="s">
        <v>8</v>
      </c>
      <c r="C10" s="1">
        <f>C8+C9</f>
        <v>27739.8</v>
      </c>
      <c r="D10" s="6">
        <f>D8+D9</f>
        <v>26106.53</v>
      </c>
      <c r="F10" s="2" t="s">
        <v>34</v>
      </c>
      <c r="G10" s="3"/>
      <c r="H10" s="4"/>
    </row>
    <row r="11" spans="2:12" ht="15" thickBot="1" x14ac:dyDescent="0.35">
      <c r="B11" s="7" t="s">
        <v>9</v>
      </c>
      <c r="C11" s="8">
        <f>C7-C10</f>
        <v>18418.679999999997</v>
      </c>
      <c r="D11" s="9">
        <f>D7-D10</f>
        <v>17125.290000000008</v>
      </c>
      <c r="F11" s="5" t="s">
        <v>27</v>
      </c>
      <c r="G11" s="1">
        <f>C20/C16</f>
        <v>6.5689797319977081E-2</v>
      </c>
      <c r="H11" s="6">
        <f>D20/D16</f>
        <v>0.17512400129207378</v>
      </c>
    </row>
    <row r="12" spans="2:12" ht="15" thickBot="1" x14ac:dyDescent="0.35">
      <c r="F12" s="5" t="s">
        <v>28</v>
      </c>
      <c r="G12" s="1">
        <f>C22/C16</f>
        <v>4.9517469028766276E-2</v>
      </c>
      <c r="H12" s="6">
        <f>D22/D16</f>
        <v>0.12693771994444206</v>
      </c>
    </row>
    <row r="13" spans="2:12" x14ac:dyDescent="0.3">
      <c r="B13" s="2" t="s">
        <v>11</v>
      </c>
      <c r="C13" s="3"/>
      <c r="D13" s="4" t="s">
        <v>48</v>
      </c>
      <c r="F13" s="5" t="s">
        <v>35</v>
      </c>
      <c r="G13" s="1"/>
      <c r="H13" s="6"/>
      <c r="J13" s="2"/>
      <c r="K13" s="3" t="s">
        <v>2</v>
      </c>
      <c r="L13" s="4" t="s">
        <v>46</v>
      </c>
    </row>
    <row r="14" spans="2:12" x14ac:dyDescent="0.3">
      <c r="B14" s="5"/>
      <c r="C14" s="1"/>
      <c r="D14" s="6"/>
      <c r="F14" s="5" t="s">
        <v>29</v>
      </c>
      <c r="G14" s="1">
        <f>C22/C11</f>
        <v>8.6901992976695472E-2</v>
      </c>
      <c r="H14" s="6">
        <f>D22/D11</f>
        <v>0.26090711456565124</v>
      </c>
      <c r="J14" s="5" t="s">
        <v>40</v>
      </c>
      <c r="K14" s="1">
        <v>7099.33</v>
      </c>
      <c r="L14" s="6">
        <v>7304.42</v>
      </c>
    </row>
    <row r="15" spans="2:12" x14ac:dyDescent="0.3">
      <c r="B15" s="5"/>
      <c r="C15" s="1" t="s">
        <v>2</v>
      </c>
      <c r="D15" s="6" t="s">
        <v>46</v>
      </c>
      <c r="F15" s="5" t="s">
        <v>30</v>
      </c>
      <c r="G15" s="1">
        <f>C20/(C7-C9)</f>
        <v>8.106001261301711E-2</v>
      </c>
      <c r="H15" s="6">
        <f>D20/(D7-D9)</f>
        <v>0.25801278965710361</v>
      </c>
      <c r="J15" s="5" t="s">
        <v>41</v>
      </c>
      <c r="K15" s="1">
        <v>10544.96</v>
      </c>
      <c r="L15" s="6">
        <v>10090.92</v>
      </c>
    </row>
    <row r="16" spans="2:12" x14ac:dyDescent="0.3">
      <c r="B16" s="5" t="s">
        <v>12</v>
      </c>
      <c r="C16" s="1">
        <v>32324.35</v>
      </c>
      <c r="D16" s="6">
        <v>35199.230000000003</v>
      </c>
      <c r="F16" s="5" t="s">
        <v>31</v>
      </c>
      <c r="G16" s="1">
        <f>C22/C7</f>
        <v>3.4676618467505887E-2</v>
      </c>
      <c r="H16" s="6">
        <f>D22/D7</f>
        <v>0.10335234556398511</v>
      </c>
      <c r="J16" s="5" t="s">
        <v>42</v>
      </c>
      <c r="K16" s="1">
        <v>8.85</v>
      </c>
      <c r="L16" s="6">
        <v>24.71</v>
      </c>
    </row>
    <row r="17" spans="2:12" x14ac:dyDescent="0.3">
      <c r="B17" s="5" t="s">
        <v>17</v>
      </c>
      <c r="C17" s="1">
        <v>2603.81</v>
      </c>
      <c r="D17" s="6">
        <v>2829.01</v>
      </c>
      <c r="F17" s="5" t="s">
        <v>36</v>
      </c>
      <c r="G17" s="1"/>
      <c r="H17" s="6"/>
      <c r="J17" s="5" t="s">
        <v>44</v>
      </c>
      <c r="K17" s="1">
        <f>(K16-L16)/K16</f>
        <v>-1.7920903954802263</v>
      </c>
      <c r="L17" s="6"/>
    </row>
    <row r="18" spans="2:12" x14ac:dyDescent="0.3">
      <c r="B18" s="5" t="s">
        <v>18</v>
      </c>
      <c r="C18" s="1">
        <f>C16-C17</f>
        <v>29720.539999999997</v>
      </c>
      <c r="D18" s="6">
        <f>D16-D17</f>
        <v>32370.22</v>
      </c>
      <c r="F18" s="5" t="s">
        <v>32</v>
      </c>
      <c r="G18" s="1">
        <f>C10/C11</f>
        <v>1.506068838809296</v>
      </c>
      <c r="H18" s="6">
        <f>D10/D11</f>
        <v>1.5244430897228594</v>
      </c>
      <c r="J18" s="5" t="s">
        <v>43</v>
      </c>
      <c r="K18" s="1">
        <f>1340/K16</f>
        <v>151.41242937853107</v>
      </c>
      <c r="L18" s="6"/>
    </row>
    <row r="19" spans="2:12" ht="15" thickBot="1" x14ac:dyDescent="0.35">
      <c r="B19" s="5" t="s">
        <v>13</v>
      </c>
      <c r="C19" s="1">
        <f>30139.51-C17+61.46</f>
        <v>27597.159999999996</v>
      </c>
      <c r="D19" s="6">
        <f>29035-D17</f>
        <v>26205.989999999998</v>
      </c>
      <c r="F19" s="5" t="s">
        <v>33</v>
      </c>
      <c r="G19" s="1">
        <f>C10/C7</f>
        <v>0.60096866274626026</v>
      </c>
      <c r="H19" s="6">
        <f>D10/D7</f>
        <v>0.60387302685845734</v>
      </c>
      <c r="J19" s="7" t="s">
        <v>45</v>
      </c>
      <c r="K19" s="8">
        <f>K18/K17</f>
        <v>-84.489281210592665</v>
      </c>
      <c r="L19" s="9"/>
    </row>
    <row r="20" spans="2:12" x14ac:dyDescent="0.3">
      <c r="B20" s="5" t="s">
        <v>14</v>
      </c>
      <c r="C20" s="1">
        <f>C18-C19</f>
        <v>2123.380000000001</v>
      </c>
      <c r="D20" s="6">
        <f>D18-D19</f>
        <v>6164.2300000000032</v>
      </c>
      <c r="F20" s="5" t="s">
        <v>37</v>
      </c>
      <c r="G20" s="1"/>
      <c r="H20" s="6"/>
    </row>
    <row r="21" spans="2:12" x14ac:dyDescent="0.3">
      <c r="B21" s="5" t="s">
        <v>15</v>
      </c>
      <c r="C21" s="1">
        <v>522.76</v>
      </c>
      <c r="D21" s="6">
        <v>1696.12</v>
      </c>
      <c r="F21" s="5" t="s">
        <v>38</v>
      </c>
      <c r="G21" s="1">
        <f>C17/K14</f>
        <v>0.3667684133573168</v>
      </c>
      <c r="H21" s="6">
        <f>D17/L14</f>
        <v>0.38730111357233021</v>
      </c>
    </row>
    <row r="22" spans="2:12" ht="15" thickBot="1" x14ac:dyDescent="0.35">
      <c r="B22" s="5" t="s">
        <v>16</v>
      </c>
      <c r="C22" s="1">
        <f>C20-C21</f>
        <v>1600.620000000001</v>
      </c>
      <c r="D22" s="6">
        <f>D20-D21</f>
        <v>4468.1100000000033</v>
      </c>
      <c r="F22" s="7" t="s">
        <v>39</v>
      </c>
      <c r="G22" s="8">
        <f>2*C16/(C7+D7)</f>
        <v>0.72321829102262769</v>
      </c>
      <c r="H22" s="9"/>
    </row>
    <row r="23" spans="2:12" x14ac:dyDescent="0.3">
      <c r="B23" s="5" t="s">
        <v>19</v>
      </c>
      <c r="C23" s="1">
        <v>40.619999999999997</v>
      </c>
      <c r="D23" s="6">
        <v>-7.9</v>
      </c>
    </row>
    <row r="24" spans="2:12" ht="15" thickBot="1" x14ac:dyDescent="0.35">
      <c r="B24" s="7" t="s">
        <v>20</v>
      </c>
      <c r="C24" s="8">
        <f>C22+C23</f>
        <v>1641.2400000000009</v>
      </c>
      <c r="D24" s="9">
        <f>D22+D23</f>
        <v>4460.2100000000037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97344-8BE8-4A21-98B3-0242864E6D69}">
  <dimension ref="B1:L24"/>
  <sheetViews>
    <sheetView topLeftCell="D1" zoomScale="99" workbookViewId="0">
      <selection activeCell="G8" sqref="G8"/>
    </sheetView>
  </sheetViews>
  <sheetFormatPr defaultRowHeight="14.4" x14ac:dyDescent="0.3"/>
  <cols>
    <col min="2" max="2" width="19.5546875" customWidth="1"/>
    <col min="3" max="3" width="11.5546875" customWidth="1"/>
    <col min="4" max="4" width="10.88671875" customWidth="1"/>
    <col min="6" max="6" width="21.21875" customWidth="1"/>
    <col min="7" max="7" width="11.77734375" customWidth="1"/>
    <col min="8" max="8" width="12.109375" customWidth="1"/>
    <col min="10" max="10" width="10.33203125" customWidth="1"/>
    <col min="11" max="11" width="11.88671875" customWidth="1"/>
    <col min="12" max="12" width="11.44140625" customWidth="1"/>
  </cols>
  <sheetData>
    <row r="1" spans="2:12" ht="15" thickBot="1" x14ac:dyDescent="0.35"/>
    <row r="2" spans="2:12" x14ac:dyDescent="0.3">
      <c r="B2" s="2" t="s">
        <v>0</v>
      </c>
      <c r="C2" s="3"/>
      <c r="D2" s="4" t="s">
        <v>48</v>
      </c>
      <c r="F2" s="2" t="s">
        <v>21</v>
      </c>
      <c r="G2" s="3"/>
      <c r="H2" s="4" t="s">
        <v>49</v>
      </c>
    </row>
    <row r="3" spans="2:12" x14ac:dyDescent="0.3">
      <c r="B3" s="5"/>
      <c r="C3" s="1"/>
      <c r="D3" s="6"/>
      <c r="F3" s="5"/>
      <c r="G3" s="1"/>
      <c r="H3" s="6"/>
    </row>
    <row r="4" spans="2:12" x14ac:dyDescent="0.3">
      <c r="B4" s="5"/>
      <c r="C4" s="1" t="s">
        <v>2</v>
      </c>
      <c r="D4" s="6" t="s">
        <v>46</v>
      </c>
      <c r="F4" s="5"/>
      <c r="G4" s="1" t="s">
        <v>2</v>
      </c>
      <c r="H4" s="6" t="s">
        <v>46</v>
      </c>
    </row>
    <row r="5" spans="2:12" x14ac:dyDescent="0.3">
      <c r="B5" s="5" t="s">
        <v>3</v>
      </c>
      <c r="C5" s="1">
        <v>22368.45</v>
      </c>
      <c r="D5" s="6">
        <v>18851.490000000002</v>
      </c>
      <c r="F5" s="5" t="s">
        <v>23</v>
      </c>
      <c r="G5" s="1">
        <v>5162.57</v>
      </c>
      <c r="H5" s="6">
        <v>2459.89</v>
      </c>
    </row>
    <row r="6" spans="2:12" x14ac:dyDescent="0.3">
      <c r="B6" s="5" t="s">
        <v>4</v>
      </c>
      <c r="C6" s="1">
        <v>5378.79</v>
      </c>
      <c r="D6" s="6">
        <v>3973.48</v>
      </c>
      <c r="F6" s="5" t="s">
        <v>24</v>
      </c>
      <c r="G6" s="1">
        <v>-6212.25</v>
      </c>
      <c r="H6" s="6">
        <v>-1170.43</v>
      </c>
    </row>
    <row r="7" spans="2:12" x14ac:dyDescent="0.3">
      <c r="B7" s="5" t="s">
        <v>5</v>
      </c>
      <c r="C7" s="1">
        <f>C5+C6</f>
        <v>27747.24</v>
      </c>
      <c r="D7" s="6">
        <f>D5+D6</f>
        <v>22824.97</v>
      </c>
      <c r="F7" s="5" t="s">
        <v>25</v>
      </c>
      <c r="G7" s="1">
        <v>647.73</v>
      </c>
      <c r="H7" s="6">
        <v>-566.1</v>
      </c>
    </row>
    <row r="8" spans="2:12" ht="15" thickBot="1" x14ac:dyDescent="0.35">
      <c r="B8" s="5" t="s">
        <v>6</v>
      </c>
      <c r="C8" s="1">
        <v>6777.94</v>
      </c>
      <c r="D8" s="6">
        <v>5463.6</v>
      </c>
      <c r="F8" s="7" t="s">
        <v>26</v>
      </c>
      <c r="G8" s="8">
        <f>G5+G6+G7</f>
        <v>-401.95000000000027</v>
      </c>
      <c r="H8" s="9">
        <f>H5+H6+H7</f>
        <v>723.35999999999979</v>
      </c>
    </row>
    <row r="9" spans="2:12" ht="15" thickBot="1" x14ac:dyDescent="0.35">
      <c r="B9" s="5" t="s">
        <v>7</v>
      </c>
      <c r="C9" s="1">
        <v>6281.87</v>
      </c>
      <c r="D9" s="6">
        <v>5110.5</v>
      </c>
      <c r="F9" s="10"/>
      <c r="G9" s="11"/>
      <c r="H9" s="12"/>
    </row>
    <row r="10" spans="2:12" x14ac:dyDescent="0.3">
      <c r="B10" s="5" t="s">
        <v>8</v>
      </c>
      <c r="C10" s="1">
        <f>C8+C9</f>
        <v>13059.81</v>
      </c>
      <c r="D10" s="6">
        <f>D8+D9</f>
        <v>10574.1</v>
      </c>
      <c r="F10" s="2" t="s">
        <v>34</v>
      </c>
      <c r="G10" s="3"/>
      <c r="H10" s="4"/>
    </row>
    <row r="11" spans="2:12" ht="15" thickBot="1" x14ac:dyDescent="0.35">
      <c r="B11" s="7" t="s">
        <v>9</v>
      </c>
      <c r="C11" s="8">
        <f>C7-C10</f>
        <v>14687.430000000002</v>
      </c>
      <c r="D11" s="9">
        <f>D7-D10</f>
        <v>12250.87</v>
      </c>
      <c r="F11" s="5" t="s">
        <v>27</v>
      </c>
      <c r="G11" s="1">
        <f>C20/C16</f>
        <v>0.12867625475044586</v>
      </c>
      <c r="H11" s="6">
        <f>D20/D16</f>
        <v>8.1600132784512072E-2</v>
      </c>
    </row>
    <row r="12" spans="2:12" ht="15" thickBot="1" x14ac:dyDescent="0.35">
      <c r="F12" s="5" t="s">
        <v>28</v>
      </c>
      <c r="G12" s="1">
        <f>C22/C16</f>
        <v>8.6639456652059285E-2</v>
      </c>
      <c r="H12" s="6">
        <f>D22/D16</f>
        <v>5.3049477319817899E-2</v>
      </c>
    </row>
    <row r="13" spans="2:12" x14ac:dyDescent="0.3">
      <c r="B13" s="2" t="s">
        <v>11</v>
      </c>
      <c r="C13" s="3"/>
      <c r="D13" s="4" t="s">
        <v>48</v>
      </c>
      <c r="F13" s="5" t="s">
        <v>35</v>
      </c>
      <c r="G13" s="1"/>
      <c r="H13" s="6"/>
      <c r="J13" s="2"/>
      <c r="K13" s="3" t="s">
        <v>2</v>
      </c>
      <c r="L13" s="4" t="s">
        <v>46</v>
      </c>
    </row>
    <row r="14" spans="2:12" x14ac:dyDescent="0.3">
      <c r="B14" s="5"/>
      <c r="C14" s="1"/>
      <c r="D14" s="6"/>
      <c r="F14" s="5" t="s">
        <v>29</v>
      </c>
      <c r="G14" s="1">
        <f>C22/C11</f>
        <v>0.18086145772269213</v>
      </c>
      <c r="H14" s="6">
        <f>D22/D11</f>
        <v>0.10905184693005518</v>
      </c>
      <c r="J14" s="5" t="s">
        <v>40</v>
      </c>
      <c r="K14" s="1">
        <v>322.07</v>
      </c>
      <c r="L14" s="6">
        <v>288.52999999999997</v>
      </c>
    </row>
    <row r="15" spans="2:12" x14ac:dyDescent="0.3">
      <c r="B15" s="5"/>
      <c r="C15" s="1" t="s">
        <v>2</v>
      </c>
      <c r="D15" s="6" t="s">
        <v>46</v>
      </c>
      <c r="F15" s="5" t="s">
        <v>30</v>
      </c>
      <c r="G15" s="1">
        <f>C20/(C7-C9)</f>
        <v>0.18379603985396009</v>
      </c>
      <c r="H15" s="6">
        <f>D20/(D7-D9)</f>
        <v>0.11600629316033757</v>
      </c>
      <c r="J15" s="5" t="s">
        <v>41</v>
      </c>
      <c r="K15" s="1">
        <v>1768.35</v>
      </c>
      <c r="L15" s="6">
        <v>1734.88</v>
      </c>
    </row>
    <row r="16" spans="2:12" x14ac:dyDescent="0.3">
      <c r="B16" s="5" t="s">
        <v>12</v>
      </c>
      <c r="C16" s="1">
        <v>30660.28</v>
      </c>
      <c r="D16" s="6">
        <v>25183.66</v>
      </c>
      <c r="F16" s="5" t="s">
        <v>31</v>
      </c>
      <c r="G16" s="1">
        <f>C22/C7</f>
        <v>9.5735287545716266E-2</v>
      </c>
      <c r="H16" s="6">
        <f>D22/D7</f>
        <v>5.853151176102335E-2</v>
      </c>
      <c r="J16" s="5" t="s">
        <v>42</v>
      </c>
      <c r="K16" s="1">
        <v>13.08</v>
      </c>
      <c r="L16" s="6">
        <v>6.58</v>
      </c>
    </row>
    <row r="17" spans="2:12" x14ac:dyDescent="0.3">
      <c r="B17" s="5" t="s">
        <v>17</v>
      </c>
      <c r="C17" s="1">
        <v>7147.51</v>
      </c>
      <c r="D17" s="6">
        <v>6612.65</v>
      </c>
      <c r="F17" s="5" t="s">
        <v>36</v>
      </c>
      <c r="G17" s="1"/>
      <c r="H17" s="6"/>
      <c r="J17" s="5" t="s">
        <v>44</v>
      </c>
      <c r="K17" s="1">
        <f>(K16-L16)/K16</f>
        <v>0.49694189602446481</v>
      </c>
      <c r="L17" s="6"/>
    </row>
    <row r="18" spans="2:12" x14ac:dyDescent="0.3">
      <c r="B18" s="5" t="s">
        <v>18</v>
      </c>
      <c r="C18" s="1">
        <f>C16-C17</f>
        <v>23512.769999999997</v>
      </c>
      <c r="D18" s="6">
        <f>D16-D17</f>
        <v>18571.010000000002</v>
      </c>
      <c r="F18" s="5" t="s">
        <v>32</v>
      </c>
      <c r="G18" s="1">
        <f>C10/C11</f>
        <v>0.88918279099883357</v>
      </c>
      <c r="H18" s="6">
        <f>D10/D11</f>
        <v>0.86313053685166852</v>
      </c>
      <c r="J18" s="5" t="s">
        <v>43</v>
      </c>
      <c r="K18" s="1">
        <f>1200/K16</f>
        <v>91.743119266055047</v>
      </c>
      <c r="L18" s="6"/>
    </row>
    <row r="19" spans="2:12" ht="15" thickBot="1" x14ac:dyDescent="0.35">
      <c r="B19" s="5" t="s">
        <v>13</v>
      </c>
      <c r="C19" s="1">
        <f>26715.03-C17</f>
        <v>19567.519999999997</v>
      </c>
      <c r="D19" s="6">
        <f>23128.67-D17</f>
        <v>16516.019999999997</v>
      </c>
      <c r="F19" s="5" t="s">
        <v>33</v>
      </c>
      <c r="G19" s="1">
        <f>C10/C7</f>
        <v>0.4706705964268878</v>
      </c>
      <c r="H19" s="6">
        <f>D10/D7</f>
        <v>0.46326895500848414</v>
      </c>
      <c r="J19" s="7" t="s">
        <v>45</v>
      </c>
      <c r="K19" s="8">
        <f>K18/K17</f>
        <v>184.61538461538461</v>
      </c>
      <c r="L19" s="9"/>
    </row>
    <row r="20" spans="2:12" x14ac:dyDescent="0.3">
      <c r="B20" s="5" t="s">
        <v>14</v>
      </c>
      <c r="C20" s="1">
        <f>C18-C19</f>
        <v>3945.25</v>
      </c>
      <c r="D20" s="6">
        <f>D18-D19</f>
        <v>2054.9900000000052</v>
      </c>
      <c r="F20" s="5" t="s">
        <v>37</v>
      </c>
      <c r="G20" s="1"/>
      <c r="H20" s="6"/>
    </row>
    <row r="21" spans="2:12" x14ac:dyDescent="0.3">
      <c r="B21" s="5" t="s">
        <v>15</v>
      </c>
      <c r="C21" s="1">
        <v>1288.8599999999999</v>
      </c>
      <c r="D21" s="6">
        <v>719.01</v>
      </c>
      <c r="F21" s="5" t="s">
        <v>38</v>
      </c>
      <c r="G21" s="1">
        <f>C17/K14</f>
        <v>22.192411587543081</v>
      </c>
      <c r="H21" s="6">
        <f>D17/L14</f>
        <v>22.918414029736944</v>
      </c>
    </row>
    <row r="22" spans="2:12" ht="15" thickBot="1" x14ac:dyDescent="0.35">
      <c r="B22" s="5" t="s">
        <v>16</v>
      </c>
      <c r="C22" s="1">
        <f>C20-C21</f>
        <v>2656.3900000000003</v>
      </c>
      <c r="D22" s="6">
        <f>D20-D21</f>
        <v>1335.9800000000052</v>
      </c>
      <c r="F22" s="7" t="s">
        <v>39</v>
      </c>
      <c r="G22" s="8">
        <f>2*C16/(C7+D7)</f>
        <v>1.2125347102687423</v>
      </c>
      <c r="H22" s="9"/>
    </row>
    <row r="23" spans="2:12" x14ac:dyDescent="0.3">
      <c r="B23" s="5" t="s">
        <v>19</v>
      </c>
      <c r="C23" s="1">
        <v>-18.010000000000002</v>
      </c>
      <c r="D23" s="6">
        <v>15.73</v>
      </c>
    </row>
    <row r="24" spans="2:12" ht="15" thickBot="1" x14ac:dyDescent="0.35">
      <c r="B24" s="7" t="s">
        <v>20</v>
      </c>
      <c r="C24" s="8">
        <f>C22+C23</f>
        <v>2638.38</v>
      </c>
      <c r="D24" s="9">
        <f>D22+D23</f>
        <v>1351.7100000000053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4E598-7403-4C8F-9389-82A4AAE9BBFE}">
  <dimension ref="B1:L24"/>
  <sheetViews>
    <sheetView zoomScale="99" workbookViewId="0">
      <selection activeCell="H8" sqref="H8"/>
    </sheetView>
  </sheetViews>
  <sheetFormatPr defaultRowHeight="14.4" x14ac:dyDescent="0.3"/>
  <cols>
    <col min="2" max="2" width="19.5546875" customWidth="1"/>
    <col min="3" max="3" width="11.5546875" customWidth="1"/>
    <col min="4" max="4" width="10.88671875" customWidth="1"/>
    <col min="6" max="6" width="21.21875" customWidth="1"/>
    <col min="7" max="7" width="11.77734375" customWidth="1"/>
    <col min="8" max="8" width="12.109375" customWidth="1"/>
    <col min="10" max="10" width="10.33203125" customWidth="1"/>
    <col min="11" max="11" width="11.88671875" customWidth="1"/>
    <col min="12" max="12" width="11.44140625" customWidth="1"/>
  </cols>
  <sheetData>
    <row r="1" spans="2:12" ht="15" thickBot="1" x14ac:dyDescent="0.35"/>
    <row r="2" spans="2:12" x14ac:dyDescent="0.3">
      <c r="B2" s="2" t="s">
        <v>0</v>
      </c>
      <c r="C2" s="3"/>
      <c r="D2" s="4" t="s">
        <v>50</v>
      </c>
      <c r="F2" s="2" t="s">
        <v>21</v>
      </c>
      <c r="G2" s="3"/>
      <c r="H2" s="4" t="s">
        <v>51</v>
      </c>
    </row>
    <row r="3" spans="2:12" x14ac:dyDescent="0.3">
      <c r="B3" s="5"/>
      <c r="C3" s="1"/>
      <c r="D3" s="6"/>
      <c r="F3" s="5"/>
      <c r="G3" s="1"/>
      <c r="H3" s="6"/>
    </row>
    <row r="4" spans="2:12" x14ac:dyDescent="0.3">
      <c r="B4" s="5"/>
      <c r="C4" s="1" t="s">
        <v>2</v>
      </c>
      <c r="D4" s="6" t="s">
        <v>46</v>
      </c>
      <c r="F4" s="5"/>
      <c r="G4" s="1" t="s">
        <v>2</v>
      </c>
      <c r="H4" s="6" t="s">
        <v>46</v>
      </c>
    </row>
    <row r="5" spans="2:12" x14ac:dyDescent="0.3">
      <c r="B5" s="5" t="s">
        <v>3</v>
      </c>
      <c r="C5" s="1">
        <v>585421.32999999996</v>
      </c>
      <c r="D5" s="6">
        <v>512299.05</v>
      </c>
      <c r="F5" s="5" t="s">
        <v>23</v>
      </c>
      <c r="G5" s="1">
        <v>179898.71</v>
      </c>
      <c r="H5" s="6">
        <v>82144.47</v>
      </c>
    </row>
    <row r="6" spans="2:12" x14ac:dyDescent="0.3">
      <c r="B6" s="5" t="s">
        <v>4</v>
      </c>
      <c r="C6" s="1">
        <v>351690.81</v>
      </c>
      <c r="D6" s="6">
        <v>381571.16</v>
      </c>
      <c r="F6" s="5" t="s">
        <v>24</v>
      </c>
      <c r="G6" s="1">
        <v>-104061.4</v>
      </c>
      <c r="H6" s="6">
        <v>-136026.60999999999</v>
      </c>
    </row>
    <row r="7" spans="2:12" x14ac:dyDescent="0.3">
      <c r="B7" s="5" t="s">
        <v>5</v>
      </c>
      <c r="C7" s="1">
        <f>C5+C6</f>
        <v>937112.1399999999</v>
      </c>
      <c r="D7" s="6">
        <f>D5+D6</f>
        <v>893870.21</v>
      </c>
      <c r="F7" s="5" t="s">
        <v>25</v>
      </c>
      <c r="G7" s="1">
        <v>-71041.3</v>
      </c>
      <c r="H7" s="6">
        <v>57862.97</v>
      </c>
    </row>
    <row r="8" spans="2:12" ht="15" thickBot="1" x14ac:dyDescent="0.35">
      <c r="B8" s="5" t="s">
        <v>6</v>
      </c>
      <c r="C8" s="1">
        <v>16812.419999999998</v>
      </c>
      <c r="D8" s="6">
        <v>12698.16</v>
      </c>
      <c r="F8" s="7" t="s">
        <v>26</v>
      </c>
      <c r="G8" s="8">
        <f>G5+G6+G7</f>
        <v>4796.0099999999948</v>
      </c>
      <c r="H8" s="9">
        <f>H5+H6+H7</f>
        <v>3980.8300000000163</v>
      </c>
    </row>
    <row r="9" spans="2:12" ht="15" thickBot="1" x14ac:dyDescent="0.35">
      <c r="B9" s="5" t="s">
        <v>7</v>
      </c>
      <c r="C9" s="1">
        <v>141908.62</v>
      </c>
      <c r="D9" s="6">
        <v>227126.77</v>
      </c>
      <c r="F9" s="10"/>
      <c r="G9" s="11"/>
      <c r="H9" s="12"/>
    </row>
    <row r="10" spans="2:12" x14ac:dyDescent="0.3">
      <c r="B10" s="5" t="s">
        <v>8</v>
      </c>
      <c r="C10" s="1">
        <f>C8+C9</f>
        <v>158721.03999999998</v>
      </c>
      <c r="D10" s="6">
        <f>D8+D9</f>
        <v>239824.93</v>
      </c>
      <c r="F10" s="2" t="s">
        <v>34</v>
      </c>
      <c r="G10" s="3"/>
      <c r="H10" s="4"/>
    </row>
    <row r="11" spans="2:12" ht="15" thickBot="1" x14ac:dyDescent="0.35">
      <c r="B11" s="7" t="s">
        <v>9</v>
      </c>
      <c r="C11" s="8">
        <f>C7-C10</f>
        <v>778391.09999999986</v>
      </c>
      <c r="D11" s="9">
        <f>D7-D10</f>
        <v>654045.28</v>
      </c>
      <c r="F11" s="5" t="s">
        <v>27</v>
      </c>
      <c r="G11" s="1">
        <f>C20/C16</f>
        <v>0.18852215278233581</v>
      </c>
      <c r="H11" s="6">
        <f>D20/D16</f>
        <v>0.24335869519887698</v>
      </c>
    </row>
    <row r="12" spans="2:12" ht="15" thickBot="1" x14ac:dyDescent="0.35">
      <c r="F12" s="5" t="s">
        <v>28</v>
      </c>
      <c r="G12" s="1">
        <f>C22/C16</f>
        <v>0.1505751051567214</v>
      </c>
      <c r="H12" s="6">
        <f>D22/D16</f>
        <v>0.18067852293493072</v>
      </c>
    </row>
    <row r="13" spans="2:12" x14ac:dyDescent="0.3">
      <c r="B13" s="2" t="s">
        <v>11</v>
      </c>
      <c r="C13" s="3"/>
      <c r="D13" s="4" t="s">
        <v>50</v>
      </c>
      <c r="F13" s="5" t="s">
        <v>35</v>
      </c>
      <c r="G13" s="1"/>
      <c r="H13" s="6"/>
      <c r="J13" s="2"/>
      <c r="K13" s="3" t="s">
        <v>2</v>
      </c>
      <c r="L13" s="4" t="s">
        <v>46</v>
      </c>
    </row>
    <row r="14" spans="2:12" x14ac:dyDescent="0.3">
      <c r="B14" s="5"/>
      <c r="C14" s="1"/>
      <c r="D14" s="6"/>
      <c r="F14" s="5" t="s">
        <v>29</v>
      </c>
      <c r="G14" s="1">
        <f>C22/C11</f>
        <v>0.16036385821985902</v>
      </c>
      <c r="H14" s="6">
        <f>D22/D11</f>
        <v>0.21243550599432498</v>
      </c>
      <c r="J14" s="5" t="s">
        <v>40</v>
      </c>
      <c r="K14" s="1">
        <v>103221.52</v>
      </c>
      <c r="L14" s="6">
        <v>126668.55</v>
      </c>
    </row>
    <row r="15" spans="2:12" x14ac:dyDescent="0.3">
      <c r="B15" s="5"/>
      <c r="C15" s="1" t="s">
        <v>2</v>
      </c>
      <c r="D15" s="6" t="s">
        <v>46</v>
      </c>
      <c r="F15" s="5" t="s">
        <v>30</v>
      </c>
      <c r="G15" s="1">
        <f>C20/(C7-C9)</f>
        <v>0.19653290770141474</v>
      </c>
      <c r="H15" s="6">
        <f>D20/(D7-D9)</f>
        <v>0.28068325651617959</v>
      </c>
      <c r="J15" s="5" t="s">
        <v>41</v>
      </c>
      <c r="K15" s="1">
        <v>49264.15</v>
      </c>
      <c r="L15" s="6">
        <v>47058.85</v>
      </c>
    </row>
    <row r="16" spans="2:12" x14ac:dyDescent="0.3">
      <c r="B16" s="5" t="s">
        <v>12</v>
      </c>
      <c r="C16" s="1">
        <v>828993.61</v>
      </c>
      <c r="D16" s="6">
        <v>769003.63</v>
      </c>
      <c r="F16" s="5" t="s">
        <v>31</v>
      </c>
      <c r="G16" s="1">
        <f>C22/C7</f>
        <v>0.13320262823614695</v>
      </c>
      <c r="H16" s="6">
        <f>D22/D7</f>
        <v>0.15543916605074015</v>
      </c>
      <c r="J16" s="5" t="s">
        <v>42</v>
      </c>
      <c r="K16" s="1">
        <v>31.16</v>
      </c>
      <c r="L16" s="6">
        <v>34.68</v>
      </c>
    </row>
    <row r="17" spans="2:12" x14ac:dyDescent="0.3">
      <c r="B17" s="5" t="s">
        <v>17</v>
      </c>
      <c r="C17" s="1">
        <v>186582.32</v>
      </c>
      <c r="D17" s="6">
        <v>211411.92</v>
      </c>
      <c r="F17" s="5" t="s">
        <v>36</v>
      </c>
      <c r="G17" s="1"/>
      <c r="H17" s="6"/>
      <c r="J17" s="5" t="s">
        <v>44</v>
      </c>
      <c r="K17" s="1">
        <f>(K16-L16)/K16</f>
        <v>-0.11296534017971757</v>
      </c>
      <c r="L17" s="6"/>
    </row>
    <row r="18" spans="2:12" x14ac:dyDescent="0.3">
      <c r="B18" s="5" t="s">
        <v>18</v>
      </c>
      <c r="C18" s="1">
        <f>C16-C17</f>
        <v>642411.29</v>
      </c>
      <c r="D18" s="6">
        <f>D16-D17</f>
        <v>557591.71</v>
      </c>
      <c r="F18" s="5" t="s">
        <v>32</v>
      </c>
      <c r="G18" s="1">
        <f>C10/C11</f>
        <v>0.20390911458263078</v>
      </c>
      <c r="H18" s="6">
        <f>D10/D11</f>
        <v>0.36667939871074368</v>
      </c>
      <c r="J18" s="5" t="s">
        <v>43</v>
      </c>
      <c r="K18" s="1">
        <f>2120/K16</f>
        <v>68.035943517329912</v>
      </c>
      <c r="L18" s="6"/>
    </row>
    <row r="19" spans="2:12" ht="15" thickBot="1" x14ac:dyDescent="0.35">
      <c r="B19" s="5" t="s">
        <v>13</v>
      </c>
      <c r="C19" s="1">
        <f>672709.95-C17</f>
        <v>486127.62999999995</v>
      </c>
      <c r="D19" s="6">
        <f>581859.91-D17</f>
        <v>370447.99</v>
      </c>
      <c r="F19" s="5" t="s">
        <v>33</v>
      </c>
      <c r="G19" s="1">
        <f>C10/C7</f>
        <v>0.16937251501191736</v>
      </c>
      <c r="H19" s="6">
        <f>D10/D7</f>
        <v>0.26829949954367538</v>
      </c>
      <c r="J19" s="7" t="s">
        <v>45</v>
      </c>
      <c r="K19" s="8">
        <f>K18/K17</f>
        <v>-602.27272727272737</v>
      </c>
      <c r="L19" s="9"/>
    </row>
    <row r="20" spans="2:12" x14ac:dyDescent="0.3">
      <c r="B20" s="5" t="s">
        <v>14</v>
      </c>
      <c r="C20" s="1">
        <f>C18-C19</f>
        <v>156283.66000000009</v>
      </c>
      <c r="D20" s="6">
        <f>D18-D19</f>
        <v>187143.71999999997</v>
      </c>
      <c r="F20" s="5" t="s">
        <v>37</v>
      </c>
      <c r="G20" s="1"/>
      <c r="H20" s="6"/>
    </row>
    <row r="21" spans="2:12" x14ac:dyDescent="0.3">
      <c r="B21" s="5" t="s">
        <v>15</v>
      </c>
      <c r="C21" s="1">
        <v>31457.86</v>
      </c>
      <c r="D21" s="6">
        <v>48201.279999999999</v>
      </c>
      <c r="F21" s="5" t="s">
        <v>38</v>
      </c>
      <c r="G21" s="1">
        <f>C17/K14</f>
        <v>1.8075912852281191</v>
      </c>
      <c r="H21" s="6">
        <f>D17/L14</f>
        <v>1.6690166580417949</v>
      </c>
    </row>
    <row r="22" spans="2:12" ht="15" thickBot="1" x14ac:dyDescent="0.35">
      <c r="B22" s="5" t="s">
        <v>16</v>
      </c>
      <c r="C22" s="1">
        <f>C20-C21</f>
        <v>124825.80000000009</v>
      </c>
      <c r="D22" s="6">
        <f>D20-D21</f>
        <v>138942.43999999997</v>
      </c>
      <c r="F22" s="7" t="s">
        <v>39</v>
      </c>
      <c r="G22" s="8">
        <f>2*C16/(C7+D7)</f>
        <v>0.90551786039881821</v>
      </c>
      <c r="H22" s="9"/>
    </row>
    <row r="23" spans="2:12" x14ac:dyDescent="0.3">
      <c r="B23" s="5" t="s">
        <v>19</v>
      </c>
      <c r="C23" s="1">
        <v>-485.89</v>
      </c>
      <c r="D23" s="6">
        <v>-79.39</v>
      </c>
    </row>
    <row r="24" spans="2:12" ht="15" thickBot="1" x14ac:dyDescent="0.35">
      <c r="B24" s="7" t="s">
        <v>20</v>
      </c>
      <c r="C24" s="8">
        <f>C22+C23</f>
        <v>124339.91000000009</v>
      </c>
      <c r="D24" s="9">
        <f>D22+D23</f>
        <v>138863.04999999996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8759F-9458-47EA-B9EE-EAB30DB48C93}">
  <dimension ref="B1:L24"/>
  <sheetViews>
    <sheetView tabSelected="1" zoomScale="99" workbookViewId="0">
      <selection activeCell="G8" sqref="G8"/>
    </sheetView>
  </sheetViews>
  <sheetFormatPr defaultRowHeight="14.4" x14ac:dyDescent="0.3"/>
  <cols>
    <col min="2" max="2" width="19.5546875" customWidth="1"/>
    <col min="3" max="3" width="11.5546875" customWidth="1"/>
    <col min="4" max="4" width="10.88671875" customWidth="1"/>
    <col min="6" max="6" width="21.21875" customWidth="1"/>
    <col min="7" max="7" width="11.77734375" customWidth="1"/>
    <col min="8" max="8" width="12.109375" customWidth="1"/>
    <col min="10" max="10" width="10.33203125" customWidth="1"/>
    <col min="11" max="11" width="11.88671875" customWidth="1"/>
    <col min="12" max="12" width="11.44140625" customWidth="1"/>
  </cols>
  <sheetData>
    <row r="1" spans="2:12" ht="15" thickBot="1" x14ac:dyDescent="0.35"/>
    <row r="2" spans="2:12" x14ac:dyDescent="0.3">
      <c r="B2" s="2" t="s">
        <v>0</v>
      </c>
      <c r="C2" s="3"/>
      <c r="D2" s="4" t="s">
        <v>48</v>
      </c>
      <c r="F2" s="2" t="s">
        <v>21</v>
      </c>
      <c r="G2" s="3"/>
      <c r="H2" s="4" t="s">
        <v>49</v>
      </c>
    </row>
    <row r="3" spans="2:12" x14ac:dyDescent="0.3">
      <c r="B3" s="5"/>
      <c r="C3" s="1"/>
      <c r="D3" s="6"/>
      <c r="F3" s="5"/>
      <c r="G3" s="1"/>
      <c r="H3" s="6"/>
    </row>
    <row r="4" spans="2:12" x14ac:dyDescent="0.3">
      <c r="B4" s="5"/>
      <c r="C4" s="1" t="s">
        <v>46</v>
      </c>
      <c r="D4" s="6" t="s">
        <v>47</v>
      </c>
      <c r="F4" s="5"/>
      <c r="G4" s="1" t="s">
        <v>46</v>
      </c>
      <c r="H4" s="6" t="s">
        <v>47</v>
      </c>
    </row>
    <row r="5" spans="2:12" x14ac:dyDescent="0.3">
      <c r="B5" s="5" t="s">
        <v>3</v>
      </c>
      <c r="C5" s="1">
        <v>109026</v>
      </c>
      <c r="D5" s="6">
        <v>124319</v>
      </c>
      <c r="F5" s="5" t="s">
        <v>23</v>
      </c>
      <c r="G5" s="1">
        <v>13107</v>
      </c>
      <c r="H5" s="6">
        <v>22272</v>
      </c>
    </row>
    <row r="6" spans="2:12" x14ac:dyDescent="0.3">
      <c r="B6" s="5" t="s">
        <v>4</v>
      </c>
      <c r="C6" s="1">
        <v>68374</v>
      </c>
      <c r="D6" s="6">
        <v>60317</v>
      </c>
      <c r="F6" s="5" t="s">
        <v>24</v>
      </c>
      <c r="G6" s="1">
        <v>7682</v>
      </c>
      <c r="H6" s="6">
        <v>-27138</v>
      </c>
    </row>
    <row r="7" spans="2:12" x14ac:dyDescent="0.3">
      <c r="B7" s="5" t="s">
        <v>5</v>
      </c>
      <c r="C7" s="1">
        <f>C5+C6</f>
        <v>177400</v>
      </c>
      <c r="D7" s="6">
        <f>D5+D6</f>
        <v>184636</v>
      </c>
      <c r="F7" s="5" t="s">
        <v>25</v>
      </c>
      <c r="G7" s="1">
        <v>-17098</v>
      </c>
      <c r="H7" s="6">
        <v>2553</v>
      </c>
    </row>
    <row r="8" spans="2:12" ht="15" thickBot="1" x14ac:dyDescent="0.35">
      <c r="B8" s="5" t="s">
        <v>6</v>
      </c>
      <c r="C8" s="1">
        <v>4716</v>
      </c>
      <c r="D8" s="6">
        <v>8981</v>
      </c>
      <c r="F8" s="7" t="s">
        <v>26</v>
      </c>
      <c r="G8" s="8">
        <f>G5+G6+G7</f>
        <v>3691</v>
      </c>
      <c r="H8" s="9">
        <f>H5+H6+H7</f>
        <v>-2313</v>
      </c>
    </row>
    <row r="9" spans="2:12" ht="15" thickBot="1" x14ac:dyDescent="0.35">
      <c r="B9" s="5" t="s">
        <v>7</v>
      </c>
      <c r="C9" s="1">
        <v>40279</v>
      </c>
      <c r="D9" s="6">
        <v>48210</v>
      </c>
      <c r="F9" s="10"/>
      <c r="G9" s="11"/>
      <c r="H9" s="12"/>
    </row>
    <row r="10" spans="2:12" x14ac:dyDescent="0.3">
      <c r="B10" s="5" t="s">
        <v>8</v>
      </c>
      <c r="C10" s="1">
        <f>C8+C9</f>
        <v>44995</v>
      </c>
      <c r="D10" s="6">
        <f>D8+D9</f>
        <v>57191</v>
      </c>
      <c r="F10" s="2" t="s">
        <v>34</v>
      </c>
      <c r="G10" s="3"/>
      <c r="H10" s="4"/>
    </row>
    <row r="11" spans="2:12" ht="15" thickBot="1" x14ac:dyDescent="0.35">
      <c r="B11" s="7" t="s">
        <v>9</v>
      </c>
      <c r="C11" s="8">
        <f>C7-C10</f>
        <v>132405</v>
      </c>
      <c r="D11" s="9">
        <f>D7-D10</f>
        <v>127445</v>
      </c>
      <c r="F11" s="5" t="s">
        <v>27</v>
      </c>
      <c r="G11" s="1">
        <f>C20/C16</f>
        <v>0.14262431683944807</v>
      </c>
      <c r="H11" s="6">
        <f>D20/D16</f>
        <v>0.21456800477806159</v>
      </c>
    </row>
    <row r="12" spans="2:12" ht="15" thickBot="1" x14ac:dyDescent="0.35">
      <c r="F12" s="5" t="s">
        <v>28</v>
      </c>
      <c r="G12" s="1">
        <f>C22/C16</f>
        <v>0.10512707398965762</v>
      </c>
      <c r="H12" s="6">
        <f>D22/D16</f>
        <v>0.18758974749977761</v>
      </c>
    </row>
    <row r="13" spans="2:12" x14ac:dyDescent="0.3">
      <c r="B13" s="2" t="s">
        <v>11</v>
      </c>
      <c r="C13" s="3"/>
      <c r="D13" s="4" t="s">
        <v>48</v>
      </c>
      <c r="F13" s="5" t="s">
        <v>35</v>
      </c>
      <c r="G13" s="1"/>
      <c r="H13" s="6"/>
      <c r="J13" s="2"/>
      <c r="K13" s="3" t="s">
        <v>46</v>
      </c>
      <c r="L13" s="4" t="s">
        <v>47</v>
      </c>
    </row>
    <row r="14" spans="2:12" x14ac:dyDescent="0.3">
      <c r="B14" s="5"/>
      <c r="C14" s="1"/>
      <c r="D14" s="6"/>
      <c r="F14" s="5" t="s">
        <v>29</v>
      </c>
      <c r="G14" s="1">
        <f>C22/C11</f>
        <v>6.4793625618367892E-2</v>
      </c>
      <c r="H14" s="6">
        <f>D22/D11</f>
        <v>0.11583035819373062</v>
      </c>
      <c r="J14" s="5" t="s">
        <v>40</v>
      </c>
      <c r="K14" s="1">
        <v>19263</v>
      </c>
      <c r="L14" s="6">
        <v>17800</v>
      </c>
    </row>
    <row r="15" spans="2:12" x14ac:dyDescent="0.3">
      <c r="B15" s="5"/>
      <c r="C15" s="1" t="s">
        <v>46</v>
      </c>
      <c r="D15" s="6" t="s">
        <v>47</v>
      </c>
      <c r="F15" s="5" t="s">
        <v>30</v>
      </c>
      <c r="G15" s="1">
        <f>C20/(C7-C9)</f>
        <v>8.4881236280365521E-2</v>
      </c>
      <c r="H15" s="6">
        <f>D20/(D7-D9)</f>
        <v>0.12376673068183484</v>
      </c>
      <c r="J15" s="5" t="s">
        <v>41</v>
      </c>
      <c r="K15" s="1">
        <v>22777</v>
      </c>
      <c r="L15" s="6">
        <v>19038</v>
      </c>
    </row>
    <row r="16" spans="2:12" x14ac:dyDescent="0.3">
      <c r="B16" s="5" t="s">
        <v>12</v>
      </c>
      <c r="C16" s="1">
        <v>81606</v>
      </c>
      <c r="D16" s="6">
        <v>78693</v>
      </c>
      <c r="F16" s="5" t="s">
        <v>31</v>
      </c>
      <c r="G16" s="1">
        <f>C22/C7</f>
        <v>4.8359639233370916E-2</v>
      </c>
      <c r="H16" s="6">
        <f>D22/D7</f>
        <v>7.9951905370566956E-2</v>
      </c>
      <c r="J16" s="5" t="s">
        <v>42</v>
      </c>
      <c r="K16" s="1">
        <v>8.3800000000000008</v>
      </c>
      <c r="L16" s="6">
        <v>14.42</v>
      </c>
    </row>
    <row r="17" spans="2:12" x14ac:dyDescent="0.3">
      <c r="B17" s="5" t="s">
        <v>17</v>
      </c>
      <c r="C17" s="1">
        <v>2881</v>
      </c>
      <c r="D17" s="6">
        <v>1533</v>
      </c>
      <c r="F17" s="5" t="s">
        <v>36</v>
      </c>
      <c r="G17" s="1"/>
      <c r="H17" s="6"/>
      <c r="J17" s="5" t="s">
        <v>44</v>
      </c>
      <c r="K17" s="1">
        <f>(K16-L16)/K16</f>
        <v>-0.72076372315035786</v>
      </c>
      <c r="L17" s="6"/>
    </row>
    <row r="18" spans="2:12" x14ac:dyDescent="0.3">
      <c r="B18" s="5" t="s">
        <v>18</v>
      </c>
      <c r="C18" s="1">
        <f>C16-C17</f>
        <v>78725</v>
      </c>
      <c r="D18" s="6">
        <f>D16-D17</f>
        <v>77160</v>
      </c>
      <c r="F18" s="5" t="s">
        <v>32</v>
      </c>
      <c r="G18" s="1">
        <f>C10/C11</f>
        <v>0.3398285563234017</v>
      </c>
      <c r="H18" s="6">
        <f>D10/D11</f>
        <v>0.44875044136686415</v>
      </c>
      <c r="J18" s="5" t="s">
        <v>43</v>
      </c>
      <c r="K18" s="1">
        <f>1140/K16</f>
        <v>136.03818615751788</v>
      </c>
      <c r="L18" s="6"/>
    </row>
    <row r="19" spans="2:12" ht="15" thickBot="1" x14ac:dyDescent="0.35">
      <c r="B19" s="5" t="s">
        <v>13</v>
      </c>
      <c r="C19" s="1">
        <f>66774-C17+3193</f>
        <v>67086</v>
      </c>
      <c r="D19" s="6">
        <f>59933-D17+1875</f>
        <v>60275</v>
      </c>
      <c r="F19" s="5" t="s">
        <v>33</v>
      </c>
      <c r="G19" s="1">
        <f>C10/C7</f>
        <v>0.25363585118376553</v>
      </c>
      <c r="H19" s="6">
        <f>D10/D7</f>
        <v>0.30974999458393815</v>
      </c>
      <c r="J19" s="7" t="s">
        <v>45</v>
      </c>
      <c r="K19" s="8">
        <f>K18/K17</f>
        <v>-188.74172185430464</v>
      </c>
      <c r="L19" s="9"/>
    </row>
    <row r="20" spans="2:12" x14ac:dyDescent="0.3">
      <c r="B20" s="5" t="s">
        <v>14</v>
      </c>
      <c r="C20" s="1">
        <f>C18-C19</f>
        <v>11639</v>
      </c>
      <c r="D20" s="6">
        <f>D18-D19</f>
        <v>16885</v>
      </c>
      <c r="F20" s="5" t="s">
        <v>37</v>
      </c>
      <c r="G20" s="1"/>
      <c r="H20" s="6"/>
    </row>
    <row r="21" spans="2:12" x14ac:dyDescent="0.3">
      <c r="B21" s="5" t="s">
        <v>15</v>
      </c>
      <c r="C21" s="1">
        <v>3060</v>
      </c>
      <c r="D21" s="6">
        <v>2123</v>
      </c>
      <c r="F21" s="5" t="s">
        <v>38</v>
      </c>
      <c r="G21" s="1">
        <f>C17/K14</f>
        <v>0.14956133520220111</v>
      </c>
      <c r="H21" s="6">
        <f>D17/L14</f>
        <v>8.6123595505617975E-2</v>
      </c>
    </row>
    <row r="22" spans="2:12" ht="15" thickBot="1" x14ac:dyDescent="0.35">
      <c r="B22" s="5" t="s">
        <v>16</v>
      </c>
      <c r="C22" s="1">
        <f>C20-C21</f>
        <v>8579</v>
      </c>
      <c r="D22" s="6">
        <f>D20-D21</f>
        <v>14762</v>
      </c>
      <c r="F22" s="7" t="s">
        <v>39</v>
      </c>
      <c r="G22" s="8">
        <f>2*C16/(C7+D7)</f>
        <v>0.45081704581864784</v>
      </c>
      <c r="H22" s="9"/>
    </row>
    <row r="23" spans="2:12" x14ac:dyDescent="0.3">
      <c r="B23" s="5" t="s">
        <v>19</v>
      </c>
      <c r="C23" s="1">
        <v>42</v>
      </c>
      <c r="D23" s="6">
        <v>81</v>
      </c>
    </row>
    <row r="24" spans="2:12" ht="15" thickBot="1" x14ac:dyDescent="0.35">
      <c r="B24" s="7" t="s">
        <v>20</v>
      </c>
      <c r="C24" s="8">
        <f>C22+C23</f>
        <v>8621</v>
      </c>
      <c r="D24" s="9">
        <f>D22+D23</f>
        <v>14843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SPIL</vt:lpstr>
      <vt:lpstr>Dr. Lal Pathlabs</vt:lpstr>
      <vt:lpstr>Cipla</vt:lpstr>
      <vt:lpstr>Torrent</vt:lpstr>
      <vt:lpstr>Aster DM</vt:lpstr>
      <vt:lpstr>Apollo</vt:lpstr>
      <vt:lpstr>Emcure</vt:lpstr>
      <vt:lpstr>Narayana</vt:lpstr>
      <vt:lpstr>Mankind</vt:lpstr>
      <vt:lpstr>Zydus lifesciences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Revanth Gudipati</dc:creator>
  <cp:lastModifiedBy>Sai Revanth Gudipati</cp:lastModifiedBy>
  <dcterms:created xsi:type="dcterms:W3CDTF">2015-06-05T18:17:20Z</dcterms:created>
  <dcterms:modified xsi:type="dcterms:W3CDTF">2024-07-23T18:51:02Z</dcterms:modified>
</cp:coreProperties>
</file>