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Company Reports\Infrastructure\"/>
    </mc:Choice>
  </mc:AlternateContent>
  <xr:revisionPtr revIDLastSave="0" documentId="13_ncr:1_{F05F50D7-528B-4239-89E3-C4C3A3C0A539}" xr6:coauthVersionLast="47" xr6:coauthVersionMax="47" xr10:uidLastSave="{00000000-0000-0000-0000-000000000000}"/>
  <bookViews>
    <workbookView xWindow="-96" yWindow="0" windowWidth="11712" windowHeight="12336" firstSheet="6" activeTab="7" xr2:uid="{00000000-000D-0000-FFFF-FFFF00000000}"/>
  </bookViews>
  <sheets>
    <sheet name="KPI" sheetId="1" r:id="rId1"/>
    <sheet name="KNR" sheetId="2" r:id="rId2"/>
    <sheet name="PNC" sheetId="3" r:id="rId3"/>
    <sheet name="ISGEC" sheetId="4" r:id="rId4"/>
    <sheet name="ASHOKA" sheetId="10" r:id="rId5"/>
    <sheet name="GTL" sheetId="11" r:id="rId6"/>
    <sheet name="ITD" sheetId="12" r:id="rId7"/>
    <sheet name="REC" sheetId="13" r:id="rId8"/>
    <sheet name="HG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3" l="1"/>
  <c r="K18" i="15"/>
  <c r="D19" i="15"/>
  <c r="C19" i="15"/>
  <c r="L15" i="15"/>
  <c r="K15" i="15"/>
  <c r="H21" i="15"/>
  <c r="G21" i="15"/>
  <c r="D18" i="15"/>
  <c r="D20" i="15" s="1"/>
  <c r="H11" i="15" s="1"/>
  <c r="C18" i="15"/>
  <c r="K17" i="15"/>
  <c r="K19" i="15" s="1"/>
  <c r="D10" i="15"/>
  <c r="C10" i="15"/>
  <c r="G19" i="15" s="1"/>
  <c r="H8" i="15"/>
  <c r="G8" i="15"/>
  <c r="D7" i="15"/>
  <c r="C7" i="15"/>
  <c r="G22" i="15" s="1"/>
  <c r="K18" i="12"/>
  <c r="D19" i="12"/>
  <c r="C19" i="12"/>
  <c r="K18" i="11"/>
  <c r="D19" i="11"/>
  <c r="C19" i="11"/>
  <c r="H21" i="13"/>
  <c r="G21" i="13"/>
  <c r="D18" i="13"/>
  <c r="D20" i="13" s="1"/>
  <c r="H11" i="13" s="1"/>
  <c r="C18" i="13"/>
  <c r="C20" i="13" s="1"/>
  <c r="G11" i="13" s="1"/>
  <c r="K17" i="13"/>
  <c r="K19" i="13" s="1"/>
  <c r="D10" i="13"/>
  <c r="C10" i="13"/>
  <c r="G19" i="13" s="1"/>
  <c r="H8" i="13"/>
  <c r="G8" i="13"/>
  <c r="H21" i="12"/>
  <c r="G21" i="12"/>
  <c r="D18" i="12"/>
  <c r="D20" i="12" s="1"/>
  <c r="H11" i="12" s="1"/>
  <c r="C18" i="12"/>
  <c r="C20" i="12" s="1"/>
  <c r="G11" i="12" s="1"/>
  <c r="K17" i="12"/>
  <c r="K19" i="12" s="1"/>
  <c r="D10" i="12"/>
  <c r="C10" i="12"/>
  <c r="G19" i="12" s="1"/>
  <c r="H8" i="12"/>
  <c r="G8" i="12"/>
  <c r="D7" i="12"/>
  <c r="D11" i="12" s="1"/>
  <c r="C7" i="12"/>
  <c r="K18" i="10"/>
  <c r="D19" i="10"/>
  <c r="C19" i="10"/>
  <c r="L15" i="10"/>
  <c r="K15" i="10"/>
  <c r="H21" i="11"/>
  <c r="G21" i="11"/>
  <c r="H19" i="11"/>
  <c r="D18" i="11"/>
  <c r="D20" i="11" s="1"/>
  <c r="D22" i="11" s="1"/>
  <c r="C18" i="11"/>
  <c r="C20" i="11" s="1"/>
  <c r="G11" i="11" s="1"/>
  <c r="K17" i="11"/>
  <c r="K19" i="11" s="1"/>
  <c r="D10" i="11"/>
  <c r="C10" i="11"/>
  <c r="H8" i="11"/>
  <c r="G8" i="11"/>
  <c r="D7" i="11"/>
  <c r="D11" i="11" s="1"/>
  <c r="C7" i="11"/>
  <c r="C11" i="11" s="1"/>
  <c r="K18" i="4"/>
  <c r="D19" i="4"/>
  <c r="C19" i="4"/>
  <c r="L15" i="4"/>
  <c r="K15" i="4"/>
  <c r="H21" i="10"/>
  <c r="G21" i="10"/>
  <c r="D18" i="10"/>
  <c r="D20" i="10" s="1"/>
  <c r="H11" i="10" s="1"/>
  <c r="C18" i="10"/>
  <c r="C20" i="10" s="1"/>
  <c r="G11" i="10" s="1"/>
  <c r="K17" i="10"/>
  <c r="K19" i="10" s="1"/>
  <c r="D11" i="10"/>
  <c r="H8" i="10"/>
  <c r="G8" i="10"/>
  <c r="G22" i="10"/>
  <c r="K18" i="3"/>
  <c r="D23" i="3"/>
  <c r="C23" i="3"/>
  <c r="D21" i="3"/>
  <c r="C21" i="3"/>
  <c r="D19" i="3"/>
  <c r="C19" i="3"/>
  <c r="K18" i="2"/>
  <c r="D23" i="2"/>
  <c r="C23" i="2"/>
  <c r="D19" i="2"/>
  <c r="C19" i="2"/>
  <c r="K15" i="2"/>
  <c r="K18" i="1"/>
  <c r="D23" i="1"/>
  <c r="C23" i="1"/>
  <c r="C21" i="1"/>
  <c r="D19" i="1"/>
  <c r="C19" i="1"/>
  <c r="H21" i="4"/>
  <c r="G21" i="4"/>
  <c r="C20" i="4"/>
  <c r="G11" i="4" s="1"/>
  <c r="H19" i="4"/>
  <c r="G19" i="4"/>
  <c r="D18" i="4"/>
  <c r="C18" i="4"/>
  <c r="K17" i="4"/>
  <c r="K19" i="4" s="1"/>
  <c r="D10" i="4"/>
  <c r="C10" i="4"/>
  <c r="H8" i="4"/>
  <c r="G8" i="4"/>
  <c r="D7" i="4"/>
  <c r="D11" i="4" s="1"/>
  <c r="C7" i="4"/>
  <c r="C11" i="4" s="1"/>
  <c r="H21" i="3"/>
  <c r="G21" i="3"/>
  <c r="D18" i="3"/>
  <c r="D20" i="3" s="1"/>
  <c r="H11" i="3" s="1"/>
  <c r="C18" i="3"/>
  <c r="K17" i="3"/>
  <c r="D10" i="3"/>
  <c r="C10" i="3"/>
  <c r="H8" i="3"/>
  <c r="G8" i="3"/>
  <c r="D7" i="3"/>
  <c r="C7" i="3"/>
  <c r="H21" i="2"/>
  <c r="G21" i="2"/>
  <c r="D18" i="2"/>
  <c r="C18" i="2"/>
  <c r="C20" i="2" s="1"/>
  <c r="G11" i="2" s="1"/>
  <c r="K17" i="2"/>
  <c r="D10" i="2"/>
  <c r="H19" i="2" s="1"/>
  <c r="C10" i="2"/>
  <c r="G19" i="2" s="1"/>
  <c r="H8" i="2"/>
  <c r="G8" i="2"/>
  <c r="D7" i="2"/>
  <c r="C7" i="2"/>
  <c r="G22" i="2" s="1"/>
  <c r="K17" i="1"/>
  <c r="H21" i="1"/>
  <c r="G21" i="1"/>
  <c r="H8" i="1"/>
  <c r="G8" i="1"/>
  <c r="D18" i="1"/>
  <c r="D20" i="1" s="1"/>
  <c r="C18" i="1"/>
  <c r="C20" i="1" s="1"/>
  <c r="D10" i="1"/>
  <c r="D7" i="1"/>
  <c r="H19" i="1" s="1"/>
  <c r="C10" i="1"/>
  <c r="C7" i="1"/>
  <c r="D11" i="13" l="1"/>
  <c r="H18" i="13" s="1"/>
  <c r="H19" i="13"/>
  <c r="G22" i="13"/>
  <c r="C20" i="15"/>
  <c r="G11" i="15" s="1"/>
  <c r="D11" i="15"/>
  <c r="H18" i="15" s="1"/>
  <c r="H19" i="15"/>
  <c r="H15" i="15"/>
  <c r="C11" i="15"/>
  <c r="G18" i="15" s="1"/>
  <c r="D22" i="15"/>
  <c r="H18" i="12"/>
  <c r="H19" i="12"/>
  <c r="G22" i="12"/>
  <c r="H18" i="11"/>
  <c r="G19" i="11"/>
  <c r="G18" i="11"/>
  <c r="H15" i="13"/>
  <c r="C11" i="13"/>
  <c r="G18" i="13" s="1"/>
  <c r="C22" i="13"/>
  <c r="G15" i="13"/>
  <c r="D22" i="13"/>
  <c r="G15" i="12"/>
  <c r="H15" i="12"/>
  <c r="C11" i="12"/>
  <c r="G18" i="12" s="1"/>
  <c r="C22" i="12"/>
  <c r="D22" i="12"/>
  <c r="H18" i="10"/>
  <c r="H19" i="10"/>
  <c r="G19" i="10"/>
  <c r="D24" i="11"/>
  <c r="H14" i="11"/>
  <c r="H16" i="11"/>
  <c r="H12" i="11"/>
  <c r="G22" i="11"/>
  <c r="C22" i="11"/>
  <c r="H11" i="11"/>
  <c r="G15" i="11"/>
  <c r="H15" i="11"/>
  <c r="D20" i="4"/>
  <c r="H11" i="4" s="1"/>
  <c r="H18" i="4"/>
  <c r="G18" i="4"/>
  <c r="G15" i="10"/>
  <c r="H15" i="10"/>
  <c r="C11" i="10"/>
  <c r="G18" i="10" s="1"/>
  <c r="C22" i="10"/>
  <c r="D22" i="10"/>
  <c r="K19" i="3"/>
  <c r="C20" i="3"/>
  <c r="G11" i="3" s="1"/>
  <c r="H19" i="3"/>
  <c r="D11" i="3"/>
  <c r="H18" i="3" s="1"/>
  <c r="G22" i="3"/>
  <c r="G19" i="3"/>
  <c r="K19" i="2"/>
  <c r="D20" i="2"/>
  <c r="H11" i="2" s="1"/>
  <c r="D11" i="2"/>
  <c r="H18" i="2" s="1"/>
  <c r="K19" i="1"/>
  <c r="C11" i="1"/>
  <c r="G18" i="1" s="1"/>
  <c r="G22" i="1"/>
  <c r="H15" i="1"/>
  <c r="G19" i="1"/>
  <c r="C22" i="4"/>
  <c r="G22" i="4"/>
  <c r="G15" i="4"/>
  <c r="G15" i="3"/>
  <c r="H15" i="3"/>
  <c r="C11" i="3"/>
  <c r="G18" i="3" s="1"/>
  <c r="C22" i="3"/>
  <c r="D22" i="3"/>
  <c r="G15" i="2"/>
  <c r="C11" i="2"/>
  <c r="G18" i="2" s="1"/>
  <c r="C22" i="2"/>
  <c r="D11" i="1"/>
  <c r="H18" i="1" s="1"/>
  <c r="G15" i="1"/>
  <c r="G11" i="1"/>
  <c r="C22" i="1"/>
  <c r="H11" i="1"/>
  <c r="D22" i="1"/>
  <c r="C22" i="15" l="1"/>
  <c r="G12" i="15" s="1"/>
  <c r="G15" i="15"/>
  <c r="D24" i="15"/>
  <c r="H16" i="15"/>
  <c r="H14" i="15"/>
  <c r="H12" i="15"/>
  <c r="D24" i="13"/>
  <c r="H12" i="13"/>
  <c r="H16" i="13"/>
  <c r="H14" i="13"/>
  <c r="G12" i="13"/>
  <c r="C24" i="13"/>
  <c r="G16" i="13"/>
  <c r="G14" i="13"/>
  <c r="D24" i="12"/>
  <c r="H16" i="12"/>
  <c r="H14" i="12"/>
  <c r="H12" i="12"/>
  <c r="G12" i="12"/>
  <c r="C24" i="12"/>
  <c r="G16" i="12"/>
  <c r="G14" i="12"/>
  <c r="G12" i="11"/>
  <c r="G16" i="11"/>
  <c r="G14" i="11"/>
  <c r="C24" i="11"/>
  <c r="D22" i="4"/>
  <c r="D24" i="4" s="1"/>
  <c r="H15" i="4"/>
  <c r="D24" i="10"/>
  <c r="H16" i="10"/>
  <c r="H14" i="10"/>
  <c r="H12" i="10"/>
  <c r="G12" i="10"/>
  <c r="C24" i="10"/>
  <c r="G16" i="10"/>
  <c r="G14" i="10"/>
  <c r="D22" i="2"/>
  <c r="H12" i="2" s="1"/>
  <c r="H15" i="2"/>
  <c r="G12" i="4"/>
  <c r="C24" i="4"/>
  <c r="G14" i="4"/>
  <c r="G16" i="4"/>
  <c r="D24" i="3"/>
  <c r="H16" i="3"/>
  <c r="H14" i="3"/>
  <c r="H12" i="3"/>
  <c r="G12" i="3"/>
  <c r="C24" i="3"/>
  <c r="G16" i="3"/>
  <c r="G14" i="3"/>
  <c r="G12" i="2"/>
  <c r="C24" i="2"/>
  <c r="G14" i="2"/>
  <c r="G16" i="2"/>
  <c r="H14" i="1"/>
  <c r="H16" i="1"/>
  <c r="H12" i="1"/>
  <c r="D24" i="1"/>
  <c r="G16" i="1"/>
  <c r="G14" i="1"/>
  <c r="G12" i="1"/>
  <c r="C24" i="1"/>
  <c r="C24" i="15" l="1"/>
  <c r="G14" i="15"/>
  <c r="G16" i="15"/>
  <c r="H12" i="4"/>
  <c r="H14" i="4"/>
  <c r="H16" i="4"/>
  <c r="H14" i="2"/>
  <c r="D24" i="2"/>
  <c r="H16" i="2"/>
</calcChain>
</file>

<file path=xl/sharedStrings.xml><?xml version="1.0" encoding="utf-8"?>
<sst xmlns="http://schemas.openxmlformats.org/spreadsheetml/2006/main" count="477" uniqueCount="52">
  <si>
    <t>Balance Sheet</t>
  </si>
  <si>
    <t>March 31'23</t>
  </si>
  <si>
    <t>Non-Current Assets</t>
  </si>
  <si>
    <t>Current Assets</t>
  </si>
  <si>
    <t>Total Assets</t>
  </si>
  <si>
    <t xml:space="preserve"> Non-Current Liabilities</t>
  </si>
  <si>
    <t>Current Liabilities</t>
  </si>
  <si>
    <t>Total Liabilities</t>
  </si>
  <si>
    <t>Equity</t>
  </si>
  <si>
    <t>P&amp;L Statement</t>
  </si>
  <si>
    <t>Revenue</t>
  </si>
  <si>
    <t>Expenses</t>
  </si>
  <si>
    <t>Operating Profit</t>
  </si>
  <si>
    <t>Taxes</t>
  </si>
  <si>
    <t>Net Profit</t>
  </si>
  <si>
    <t>Cost of Goods Sold</t>
  </si>
  <si>
    <t>Gross Profit</t>
  </si>
  <si>
    <t>OCI</t>
  </si>
  <si>
    <t>Total Income</t>
  </si>
  <si>
    <t>Cash Flows</t>
  </si>
  <si>
    <t>Operating Activities</t>
  </si>
  <si>
    <t>Investing Activities</t>
  </si>
  <si>
    <t>Financial Activities</t>
  </si>
  <si>
    <t>Net Cash Flow</t>
  </si>
  <si>
    <t>Operating Profit Margin</t>
  </si>
  <si>
    <t>Net Profit Margin</t>
  </si>
  <si>
    <t>ROE</t>
  </si>
  <si>
    <t>ROCE</t>
  </si>
  <si>
    <t>ROA</t>
  </si>
  <si>
    <t>D/E</t>
  </si>
  <si>
    <t>D/A</t>
  </si>
  <si>
    <t>Margins</t>
  </si>
  <si>
    <t>Return Ratios</t>
  </si>
  <si>
    <t>Leverage Ratios</t>
  </si>
  <si>
    <t>Efficiency Ratios</t>
  </si>
  <si>
    <t>Inventory Turnover Ratio</t>
  </si>
  <si>
    <t>Asset Turnover Ratio</t>
  </si>
  <si>
    <t>Inventories</t>
  </si>
  <si>
    <t>Recievables</t>
  </si>
  <si>
    <t>EPS</t>
  </si>
  <si>
    <t>PE Ratio</t>
  </si>
  <si>
    <t>GEPS</t>
  </si>
  <si>
    <t>PEG Ratio</t>
  </si>
  <si>
    <t>March 31'22</t>
  </si>
  <si>
    <t>In lakhs</t>
  </si>
  <si>
    <t>In  lakhs</t>
  </si>
  <si>
    <t>In Lakhs</t>
  </si>
  <si>
    <t>In crores</t>
  </si>
  <si>
    <t>Non-Financial Assets</t>
  </si>
  <si>
    <t>Financial Assets</t>
  </si>
  <si>
    <t>Financial Liabilities</t>
  </si>
  <si>
    <t>Non-Financial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</si>
</sst>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24"/>
  <sheetViews>
    <sheetView zoomScale="99" workbookViewId="0">
      <selection activeCell="H8" sqref="H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44</v>
      </c>
      <c r="F2" s="2" t="s">
        <v>19</v>
      </c>
      <c r="G2" s="3"/>
      <c r="H2" s="4" t="s">
        <v>45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43</v>
      </c>
      <c r="F4" s="5"/>
      <c r="G4" s="1" t="s">
        <v>1</v>
      </c>
      <c r="H4" s="6" t="s">
        <v>43</v>
      </c>
    </row>
    <row r="5" spans="2:12" x14ac:dyDescent="0.3">
      <c r="B5" s="5" t="s">
        <v>2</v>
      </c>
      <c r="C5" s="1">
        <v>74469.679999999993</v>
      </c>
      <c r="D5" s="6">
        <v>47130.78</v>
      </c>
      <c r="F5" s="5" t="s">
        <v>20</v>
      </c>
      <c r="G5" s="1">
        <v>10665.96</v>
      </c>
      <c r="H5" s="6">
        <v>12169.69</v>
      </c>
    </row>
    <row r="6" spans="2:12" x14ac:dyDescent="0.3">
      <c r="B6" s="5" t="s">
        <v>3</v>
      </c>
      <c r="C6" s="1">
        <v>29036.95</v>
      </c>
      <c r="D6" s="6">
        <v>21050.28</v>
      </c>
      <c r="F6" s="5" t="s">
        <v>21</v>
      </c>
      <c r="G6" s="1">
        <v>-28781.32</v>
      </c>
      <c r="H6" s="6">
        <v>-15300.15</v>
      </c>
    </row>
    <row r="7" spans="2:12" x14ac:dyDescent="0.3">
      <c r="B7" s="5" t="s">
        <v>4</v>
      </c>
      <c r="C7" s="1">
        <f>C5+C6</f>
        <v>103506.62999999999</v>
      </c>
      <c r="D7" s="6">
        <f>D5+D6</f>
        <v>68181.06</v>
      </c>
      <c r="F7" s="5" t="s">
        <v>22</v>
      </c>
      <c r="G7" s="1">
        <v>20562.099999999999</v>
      </c>
      <c r="H7" s="6">
        <v>2867.83</v>
      </c>
    </row>
    <row r="8" spans="2:12" ht="15" thickBot="1" x14ac:dyDescent="0.35">
      <c r="B8" s="5" t="s">
        <v>5</v>
      </c>
      <c r="C8" s="1">
        <v>54899.519999999997</v>
      </c>
      <c r="D8" s="6">
        <v>36480.04</v>
      </c>
      <c r="F8" s="7" t="s">
        <v>23</v>
      </c>
      <c r="G8" s="8">
        <f>G5+G6+G7</f>
        <v>2446.739999999998</v>
      </c>
      <c r="H8" s="9">
        <f>H5+H6+H7</f>
        <v>-262.6299999999992</v>
      </c>
    </row>
    <row r="9" spans="2:12" ht="15" thickBot="1" x14ac:dyDescent="0.35">
      <c r="B9" s="5" t="s">
        <v>6</v>
      </c>
      <c r="C9" s="1">
        <v>25776.85</v>
      </c>
      <c r="D9" s="6">
        <v>16165.36</v>
      </c>
      <c r="F9" s="10"/>
      <c r="G9" s="11"/>
      <c r="H9" s="12"/>
    </row>
    <row r="10" spans="2:12" x14ac:dyDescent="0.3">
      <c r="B10" s="5" t="s">
        <v>7</v>
      </c>
      <c r="C10" s="1">
        <f>C8+C9</f>
        <v>80676.37</v>
      </c>
      <c r="D10" s="6">
        <f>D8+D9</f>
        <v>52645.4</v>
      </c>
      <c r="F10" s="2" t="s">
        <v>31</v>
      </c>
      <c r="G10" s="3"/>
      <c r="H10" s="4"/>
    </row>
    <row r="11" spans="2:12" ht="15" thickBot="1" x14ac:dyDescent="0.35">
      <c r="B11" s="7" t="s">
        <v>8</v>
      </c>
      <c r="C11" s="8">
        <f>C7-C10</f>
        <v>22830.259999999995</v>
      </c>
      <c r="D11" s="9">
        <f>D7-D10</f>
        <v>15535.659999999996</v>
      </c>
      <c r="F11" s="5" t="s">
        <v>24</v>
      </c>
      <c r="G11" s="1">
        <f>C20/C16</f>
        <v>0.20495523352757039</v>
      </c>
      <c r="H11" s="6">
        <f>D20/D16</f>
        <v>0.26208303364029756</v>
      </c>
    </row>
    <row r="12" spans="2:12" ht="15" thickBot="1" x14ac:dyDescent="0.35">
      <c r="F12" s="5" t="s">
        <v>25</v>
      </c>
      <c r="G12" s="1">
        <f>C22/C16</f>
        <v>0.15973986358650577</v>
      </c>
      <c r="H12" s="6">
        <f>D22/D16</f>
        <v>0.20234155119603592</v>
      </c>
    </row>
    <row r="13" spans="2:12" x14ac:dyDescent="0.3">
      <c r="B13" s="2" t="s">
        <v>9</v>
      </c>
      <c r="C13" s="3"/>
      <c r="D13" s="4" t="s">
        <v>44</v>
      </c>
      <c r="F13" s="5" t="s">
        <v>32</v>
      </c>
      <c r="G13" s="1"/>
      <c r="H13" s="6"/>
      <c r="J13" s="2"/>
      <c r="K13" s="3" t="s">
        <v>1</v>
      </c>
      <c r="L13" s="4" t="s">
        <v>43</v>
      </c>
    </row>
    <row r="14" spans="2:12" x14ac:dyDescent="0.3">
      <c r="B14" s="5"/>
      <c r="C14" s="1"/>
      <c r="D14" s="6"/>
      <c r="F14" s="5" t="s">
        <v>26</v>
      </c>
      <c r="G14" s="1">
        <f>C22/C11</f>
        <v>0.34337585292502171</v>
      </c>
      <c r="H14" s="6">
        <f>D22/D11</f>
        <v>0.28719088857505892</v>
      </c>
      <c r="J14" s="5" t="s">
        <v>37</v>
      </c>
      <c r="K14" s="1">
        <v>13222.88</v>
      </c>
      <c r="L14" s="6">
        <v>8217.2900000000009</v>
      </c>
    </row>
    <row r="15" spans="2:12" x14ac:dyDescent="0.3">
      <c r="B15" s="5"/>
      <c r="C15" s="1" t="s">
        <v>1</v>
      </c>
      <c r="D15" s="6" t="s">
        <v>43</v>
      </c>
      <c r="F15" s="5" t="s">
        <v>27</v>
      </c>
      <c r="G15" s="1">
        <f>C20/(C7-C9)</f>
        <v>0.12940136971955926</v>
      </c>
      <c r="H15" s="6">
        <f>D20/(D7-D9)</f>
        <v>0.11110145590658203</v>
      </c>
      <c r="J15" s="5" t="s">
        <v>38</v>
      </c>
      <c r="K15" s="1">
        <v>5333.23</v>
      </c>
      <c r="L15" s="6">
        <v>3430.26</v>
      </c>
    </row>
    <row r="16" spans="2:12" x14ac:dyDescent="0.3">
      <c r="B16" s="5" t="s">
        <v>10</v>
      </c>
      <c r="C16" s="1">
        <v>49075.79</v>
      </c>
      <c r="D16" s="6">
        <v>22050.34</v>
      </c>
      <c r="F16" s="5" t="s">
        <v>28</v>
      </c>
      <c r="G16" s="1">
        <f>C22/C7</f>
        <v>7.5737757088603933E-2</v>
      </c>
      <c r="H16" s="6">
        <f>D22/D7</f>
        <v>6.5438994348283805E-2</v>
      </c>
      <c r="J16" s="5" t="s">
        <v>39</v>
      </c>
      <c r="K16" s="1">
        <v>21.69</v>
      </c>
      <c r="L16" s="6">
        <v>12.35</v>
      </c>
    </row>
    <row r="17" spans="2:12" x14ac:dyDescent="0.3">
      <c r="B17" s="5" t="s">
        <v>15</v>
      </c>
      <c r="C17" s="1">
        <v>445.23</v>
      </c>
      <c r="D17" s="6">
        <v>339.3</v>
      </c>
      <c r="F17" s="5" t="s">
        <v>33</v>
      </c>
      <c r="G17" s="1"/>
      <c r="H17" s="6"/>
      <c r="J17" s="5" t="s">
        <v>41</v>
      </c>
      <c r="K17" s="1">
        <f>(K16-L16)/K16</f>
        <v>0.43061318579990782</v>
      </c>
      <c r="L17" s="6"/>
    </row>
    <row r="18" spans="2:12" x14ac:dyDescent="0.3">
      <c r="B18" s="5" t="s">
        <v>16</v>
      </c>
      <c r="C18" s="1">
        <f>C16-C17</f>
        <v>48630.559999999998</v>
      </c>
      <c r="D18" s="6">
        <f>D16-D17</f>
        <v>21711.040000000001</v>
      </c>
      <c r="F18" s="5" t="s">
        <v>29</v>
      </c>
      <c r="G18" s="1">
        <f>C10/C11</f>
        <v>3.533747316062104</v>
      </c>
      <c r="H18" s="6">
        <f>D10/D11</f>
        <v>3.3886812661966093</v>
      </c>
      <c r="J18" s="5" t="s">
        <v>40</v>
      </c>
      <c r="K18" s="1">
        <f>870/K16</f>
        <v>40.110650069156293</v>
      </c>
      <c r="L18" s="6"/>
    </row>
    <row r="19" spans="2:12" ht="15" thickBot="1" x14ac:dyDescent="0.35">
      <c r="B19" s="5" t="s">
        <v>11</v>
      </c>
      <c r="C19" s="1">
        <f>38971.32+46.13-445.23</f>
        <v>38572.219999999994</v>
      </c>
      <c r="D19" s="6">
        <f>16259.87+11.45-339.3</f>
        <v>15932.020000000002</v>
      </c>
      <c r="F19" s="5" t="s">
        <v>30</v>
      </c>
      <c r="G19" s="1">
        <f>C10/C7</f>
        <v>0.77943190692229092</v>
      </c>
      <c r="H19" s="6">
        <f>D10/D7</f>
        <v>0.77214111954258269</v>
      </c>
      <c r="J19" s="7" t="s">
        <v>42</v>
      </c>
      <c r="K19" s="8">
        <f>K18/K17</f>
        <v>93.147751605995708</v>
      </c>
      <c r="L19" s="9"/>
    </row>
    <row r="20" spans="2:12" x14ac:dyDescent="0.3">
      <c r="B20" s="5" t="s">
        <v>12</v>
      </c>
      <c r="C20" s="1">
        <f>C18-C19</f>
        <v>10058.340000000004</v>
      </c>
      <c r="D20" s="6">
        <f>D18-D19</f>
        <v>5779.0199999999986</v>
      </c>
      <c r="F20" s="5" t="s">
        <v>34</v>
      </c>
      <c r="G20" s="1"/>
      <c r="H20" s="6"/>
    </row>
    <row r="21" spans="2:12" x14ac:dyDescent="0.3">
      <c r="B21" s="5" t="s">
        <v>13</v>
      </c>
      <c r="C21" s="1">
        <f>832.49+1386.49</f>
        <v>2218.98</v>
      </c>
      <c r="D21" s="6">
        <v>1317.32</v>
      </c>
      <c r="F21" s="5" t="s">
        <v>35</v>
      </c>
      <c r="G21" s="1">
        <f>C17/K14</f>
        <v>3.367118207228683E-2</v>
      </c>
      <c r="H21" s="6">
        <f>D17/L14</f>
        <v>4.1290985227489842E-2</v>
      </c>
    </row>
    <row r="22" spans="2:12" ht="15" thickBot="1" x14ac:dyDescent="0.35">
      <c r="B22" s="5" t="s">
        <v>14</v>
      </c>
      <c r="C22" s="1">
        <f>C20-C21</f>
        <v>7839.3600000000042</v>
      </c>
      <c r="D22" s="6">
        <f>D20-D21</f>
        <v>4461.6999999999989</v>
      </c>
      <c r="F22" s="7" t="s">
        <v>36</v>
      </c>
      <c r="G22" s="8">
        <f>2*C16/(C7+D7)</f>
        <v>0.57168676449662759</v>
      </c>
      <c r="H22" s="9"/>
    </row>
    <row r="23" spans="2:12" x14ac:dyDescent="0.3">
      <c r="B23" s="5" t="s">
        <v>17</v>
      </c>
      <c r="C23" s="1">
        <f>1.27-0.32</f>
        <v>0.95</v>
      </c>
      <c r="D23" s="6">
        <f>-1.49+0.37</f>
        <v>-1.1200000000000001</v>
      </c>
    </row>
    <row r="24" spans="2:12" ht="15" thickBot="1" x14ac:dyDescent="0.35">
      <c r="B24" s="7" t="s">
        <v>18</v>
      </c>
      <c r="C24" s="8">
        <f>C22+C23</f>
        <v>7840.310000000004</v>
      </c>
      <c r="D24" s="9">
        <f>D22+D23</f>
        <v>4460.579999999999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2A65-DB88-4968-8EE3-0F4F7A304C5C}">
  <dimension ref="B1:L24"/>
  <sheetViews>
    <sheetView zoomScale="99" workbookViewId="0">
      <selection activeCell="H8" sqref="H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46</v>
      </c>
      <c r="F2" s="2" t="s">
        <v>19</v>
      </c>
      <c r="G2" s="3"/>
      <c r="H2" s="4" t="s">
        <v>45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43</v>
      </c>
      <c r="F4" s="5"/>
      <c r="G4" s="1" t="s">
        <v>1</v>
      </c>
      <c r="H4" s="6" t="s">
        <v>43</v>
      </c>
    </row>
    <row r="5" spans="2:12" x14ac:dyDescent="0.3">
      <c r="B5" s="5" t="s">
        <v>2</v>
      </c>
      <c r="C5" s="1">
        <v>128986.23</v>
      </c>
      <c r="D5" s="6">
        <v>117520.91</v>
      </c>
      <c r="F5" s="5" t="s">
        <v>20</v>
      </c>
      <c r="G5" s="1">
        <v>1287.1500000000001</v>
      </c>
      <c r="H5" s="6">
        <v>34322.449999999997</v>
      </c>
    </row>
    <row r="6" spans="2:12" x14ac:dyDescent="0.3">
      <c r="B6" s="5" t="s">
        <v>3</v>
      </c>
      <c r="C6" s="1">
        <v>240976.26</v>
      </c>
      <c r="D6" s="6">
        <v>215424.84</v>
      </c>
      <c r="F6" s="5" t="s">
        <v>21</v>
      </c>
      <c r="G6" s="1">
        <v>8302.59</v>
      </c>
      <c r="H6" s="6">
        <v>-27573.72</v>
      </c>
    </row>
    <row r="7" spans="2:12" x14ac:dyDescent="0.3">
      <c r="B7" s="5" t="s">
        <v>4</v>
      </c>
      <c r="C7" s="1">
        <f>C5+C6</f>
        <v>369962.49</v>
      </c>
      <c r="D7" s="6">
        <f>D5+D6</f>
        <v>332945.75</v>
      </c>
      <c r="F7" s="5" t="s">
        <v>22</v>
      </c>
      <c r="G7" s="1">
        <v>-4702.45</v>
      </c>
      <c r="H7" s="6">
        <v>-3899.29</v>
      </c>
    </row>
    <row r="8" spans="2:12" ht="15" thickBot="1" x14ac:dyDescent="0.35">
      <c r="B8" s="5" t="s">
        <v>5</v>
      </c>
      <c r="C8" s="1">
        <v>2844.39</v>
      </c>
      <c r="D8" s="6">
        <v>2699.61</v>
      </c>
      <c r="F8" s="7" t="s">
        <v>23</v>
      </c>
      <c r="G8" s="8">
        <f>G5+G6+G7</f>
        <v>4887.29</v>
      </c>
      <c r="H8" s="9">
        <f>H5+H6+H7</f>
        <v>2849.439999999996</v>
      </c>
    </row>
    <row r="9" spans="2:12" ht="15" thickBot="1" x14ac:dyDescent="0.35">
      <c r="B9" s="5" t="s">
        <v>6</v>
      </c>
      <c r="C9" s="1">
        <v>93690.58</v>
      </c>
      <c r="D9" s="6">
        <v>106049.2</v>
      </c>
      <c r="F9" s="10"/>
      <c r="G9" s="11"/>
      <c r="H9" s="12"/>
    </row>
    <row r="10" spans="2:12" x14ac:dyDescent="0.3">
      <c r="B10" s="5" t="s">
        <v>7</v>
      </c>
      <c r="C10" s="1">
        <f>C8+C9</f>
        <v>96534.97</v>
      </c>
      <c r="D10" s="6">
        <f>D8+D9</f>
        <v>108748.81</v>
      </c>
      <c r="F10" s="2" t="s">
        <v>31</v>
      </c>
      <c r="G10" s="3"/>
      <c r="H10" s="4"/>
    </row>
    <row r="11" spans="2:12" ht="15" thickBot="1" x14ac:dyDescent="0.35">
      <c r="B11" s="7" t="s">
        <v>8</v>
      </c>
      <c r="C11" s="8">
        <f>C7-C10</f>
        <v>273427.52</v>
      </c>
      <c r="D11" s="9">
        <f>D7-D10</f>
        <v>224196.94</v>
      </c>
      <c r="F11" s="5" t="s">
        <v>24</v>
      </c>
      <c r="G11" s="1">
        <f>C20/C16</f>
        <v>0.18673105742619078</v>
      </c>
      <c r="H11" s="6">
        <f>D20/D16</f>
        <v>0.17463412202683049</v>
      </c>
    </row>
    <row r="12" spans="2:12" ht="15" thickBot="1" x14ac:dyDescent="0.35">
      <c r="F12" s="5" t="s">
        <v>25</v>
      </c>
      <c r="G12" s="1">
        <f>C22/C16</f>
        <v>0.13211032946621196</v>
      </c>
      <c r="H12" s="6">
        <f>D22/D16</f>
        <v>0.11519758291588661</v>
      </c>
    </row>
    <row r="13" spans="2:12" x14ac:dyDescent="0.3">
      <c r="B13" s="2" t="s">
        <v>9</v>
      </c>
      <c r="C13" s="3"/>
      <c r="D13" s="4" t="s">
        <v>44</v>
      </c>
      <c r="F13" s="5" t="s">
        <v>32</v>
      </c>
      <c r="G13" s="1"/>
      <c r="H13" s="6"/>
      <c r="J13" s="2"/>
      <c r="K13" s="3" t="s">
        <v>1</v>
      </c>
      <c r="L13" s="4" t="s">
        <v>43</v>
      </c>
    </row>
    <row r="14" spans="2:12" x14ac:dyDescent="0.3">
      <c r="B14" s="5"/>
      <c r="C14" s="1"/>
      <c r="D14" s="6"/>
      <c r="F14" s="5" t="s">
        <v>26</v>
      </c>
      <c r="G14" s="1">
        <f>C22/C11</f>
        <v>0.18243708606946388</v>
      </c>
      <c r="H14" s="6">
        <f>D22/D11</f>
        <v>0.17029509858609149</v>
      </c>
      <c r="J14" s="5" t="s">
        <v>37</v>
      </c>
      <c r="K14" s="1">
        <v>23407.34</v>
      </c>
      <c r="L14" s="6">
        <v>22703.98</v>
      </c>
    </row>
    <row r="15" spans="2:12" x14ac:dyDescent="0.3">
      <c r="B15" s="5"/>
      <c r="C15" s="1" t="s">
        <v>1</v>
      </c>
      <c r="D15" s="6" t="s">
        <v>43</v>
      </c>
      <c r="F15" s="5" t="s">
        <v>27</v>
      </c>
      <c r="G15" s="1">
        <f>C20/(C7-C9)</f>
        <v>0.25521041932927624</v>
      </c>
      <c r="H15" s="6">
        <f>D20/(D7-D9)</f>
        <v>0.25508779221191347</v>
      </c>
      <c r="J15" s="5" t="s">
        <v>38</v>
      </c>
      <c r="K15" s="1">
        <f>2953+98344.38</f>
        <v>101297.38</v>
      </c>
      <c r="L15" s="6">
        <v>84939.34</v>
      </c>
    </row>
    <row r="16" spans="2:12" x14ac:dyDescent="0.3">
      <c r="B16" s="5" t="s">
        <v>10</v>
      </c>
      <c r="C16" s="1">
        <v>377588.34</v>
      </c>
      <c r="D16" s="6">
        <v>331427.44</v>
      </c>
      <c r="F16" s="5" t="s">
        <v>28</v>
      </c>
      <c r="G16" s="1">
        <f>C22/C7</f>
        <v>0.13483345298059826</v>
      </c>
      <c r="H16" s="6">
        <f>D22/D7</f>
        <v>0.11467225516469286</v>
      </c>
      <c r="J16" s="5" t="s">
        <v>39</v>
      </c>
      <c r="K16" s="1">
        <v>17.739999999999998</v>
      </c>
      <c r="L16" s="6">
        <v>13.58</v>
      </c>
    </row>
    <row r="17" spans="2:12" x14ac:dyDescent="0.3">
      <c r="B17" s="5" t="s">
        <v>15</v>
      </c>
      <c r="C17" s="1">
        <v>149474.47</v>
      </c>
      <c r="D17" s="6">
        <v>118071.56</v>
      </c>
      <c r="F17" s="5" t="s">
        <v>33</v>
      </c>
      <c r="G17" s="1"/>
      <c r="H17" s="6"/>
      <c r="J17" s="5" t="s">
        <v>41</v>
      </c>
      <c r="K17" s="1">
        <f>(K16-L16)/K16</f>
        <v>0.23449830890642609</v>
      </c>
      <c r="L17" s="6"/>
    </row>
    <row r="18" spans="2:12" x14ac:dyDescent="0.3">
      <c r="B18" s="5" t="s">
        <v>16</v>
      </c>
      <c r="C18" s="1">
        <f>C16-C17</f>
        <v>228113.87000000002</v>
      </c>
      <c r="D18" s="6">
        <f>D16-D17</f>
        <v>213355.88</v>
      </c>
      <c r="F18" s="5" t="s">
        <v>29</v>
      </c>
      <c r="G18" s="1">
        <f>C10/C11</f>
        <v>0.35305506190452224</v>
      </c>
      <c r="H18" s="6">
        <f>D10/D11</f>
        <v>0.48505929652741914</v>
      </c>
      <c r="J18" s="5" t="s">
        <v>40</v>
      </c>
      <c r="K18" s="1">
        <f>340/K16</f>
        <v>19.165727170236753</v>
      </c>
      <c r="L18" s="6"/>
    </row>
    <row r="19" spans="2:12" ht="15" thickBot="1" x14ac:dyDescent="0.35">
      <c r="B19" s="5" t="s">
        <v>11</v>
      </c>
      <c r="C19" s="1">
        <f>320877.48-C17-13796.61</f>
        <v>157606.39999999997</v>
      </c>
      <c r="D19" s="6">
        <f>275688.85-D17-2139.95</f>
        <v>155477.33999999997</v>
      </c>
      <c r="F19" s="5" t="s">
        <v>30</v>
      </c>
      <c r="G19" s="1">
        <f>C10/C7</f>
        <v>0.26093177716476068</v>
      </c>
      <c r="H19" s="6">
        <f>D10/D7</f>
        <v>0.32662621463106228</v>
      </c>
      <c r="J19" s="7" t="s">
        <v>42</v>
      </c>
      <c r="K19" s="8">
        <f>K18/K17</f>
        <v>81.730769230769255</v>
      </c>
      <c r="L19" s="9"/>
    </row>
    <row r="20" spans="2:12" x14ac:dyDescent="0.3">
      <c r="B20" s="5" t="s">
        <v>12</v>
      </c>
      <c r="C20" s="1">
        <f>C18-C19</f>
        <v>70507.470000000059</v>
      </c>
      <c r="D20" s="6">
        <f>D18-D19</f>
        <v>57878.540000000037</v>
      </c>
      <c r="F20" s="5" t="s">
        <v>34</v>
      </c>
      <c r="G20" s="1"/>
      <c r="H20" s="6"/>
    </row>
    <row r="21" spans="2:12" x14ac:dyDescent="0.3">
      <c r="B21" s="5" t="s">
        <v>13</v>
      </c>
      <c r="C21" s="1">
        <v>20624.150000000001</v>
      </c>
      <c r="D21" s="6">
        <v>19698.900000000001</v>
      </c>
      <c r="F21" s="5" t="s">
        <v>35</v>
      </c>
      <c r="G21" s="1">
        <f>C17/K14</f>
        <v>6.3857947977002087</v>
      </c>
      <c r="H21" s="6">
        <f>D17/L14</f>
        <v>5.2004785064116508</v>
      </c>
    </row>
    <row r="22" spans="2:12" ht="15" thickBot="1" x14ac:dyDescent="0.35">
      <c r="B22" s="5" t="s">
        <v>14</v>
      </c>
      <c r="C22" s="1">
        <f>C20-C21</f>
        <v>49883.320000000058</v>
      </c>
      <c r="D22" s="6">
        <f>D20-D21</f>
        <v>38179.640000000036</v>
      </c>
      <c r="F22" s="7" t="s">
        <v>36</v>
      </c>
      <c r="G22" s="8">
        <f>2*C16/(C7+D7)</f>
        <v>1.0743602607361666</v>
      </c>
      <c r="H22" s="9"/>
    </row>
    <row r="23" spans="2:12" x14ac:dyDescent="0.3">
      <c r="B23" s="5" t="s">
        <v>17</v>
      </c>
      <c r="C23" s="1">
        <f>67.29-16.94</f>
        <v>50.350000000000009</v>
      </c>
      <c r="D23" s="6">
        <f>-83.87+21.11</f>
        <v>-62.760000000000005</v>
      </c>
    </row>
    <row r="24" spans="2:12" ht="15" thickBot="1" x14ac:dyDescent="0.35">
      <c r="B24" s="7" t="s">
        <v>18</v>
      </c>
      <c r="C24" s="8">
        <f>C22+C23</f>
        <v>49933.670000000056</v>
      </c>
      <c r="D24" s="9">
        <f>D22+D23</f>
        <v>38116.880000000034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5EC3-3C4C-4EE2-96FE-43A7210A1B6C}">
  <dimension ref="B1:L24"/>
  <sheetViews>
    <sheetView topLeftCell="D1" zoomScale="99" workbookViewId="0">
      <selection activeCell="G8" sqref="G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44</v>
      </c>
      <c r="F2" s="2" t="s">
        <v>19</v>
      </c>
      <c r="G2" s="3"/>
      <c r="H2" s="4" t="s">
        <v>45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43</v>
      </c>
      <c r="F4" s="5"/>
      <c r="G4" s="1" t="s">
        <v>1</v>
      </c>
      <c r="H4" s="6" t="s">
        <v>43</v>
      </c>
    </row>
    <row r="5" spans="2:12" x14ac:dyDescent="0.3">
      <c r="B5" s="5" t="s">
        <v>2</v>
      </c>
      <c r="C5" s="1">
        <v>258636.61</v>
      </c>
      <c r="D5" s="6">
        <v>236512.56</v>
      </c>
      <c r="F5" s="5" t="s">
        <v>20</v>
      </c>
      <c r="G5" s="1">
        <v>-15330.11</v>
      </c>
      <c r="H5" s="6">
        <v>30785.42</v>
      </c>
    </row>
    <row r="6" spans="2:12" x14ac:dyDescent="0.3">
      <c r="B6" s="5" t="s">
        <v>3</v>
      </c>
      <c r="C6" s="1">
        <v>348409.7</v>
      </c>
      <c r="D6" s="6">
        <v>293700.34000000003</v>
      </c>
      <c r="F6" s="5" t="s">
        <v>21</v>
      </c>
      <c r="G6" s="1">
        <v>-11352.16</v>
      </c>
      <c r="H6" s="6">
        <v>-30833.15</v>
      </c>
    </row>
    <row r="7" spans="2:12" x14ac:dyDescent="0.3">
      <c r="B7" s="5" t="s">
        <v>4</v>
      </c>
      <c r="C7" s="1">
        <f>C5+C6</f>
        <v>607046.31000000006</v>
      </c>
      <c r="D7" s="6">
        <f>D5+D6</f>
        <v>530212.9</v>
      </c>
      <c r="F7" s="5" t="s">
        <v>22</v>
      </c>
      <c r="G7" s="1">
        <v>15276.64</v>
      </c>
      <c r="H7" s="6">
        <v>-28039.7</v>
      </c>
    </row>
    <row r="8" spans="2:12" ht="15" thickBot="1" x14ac:dyDescent="0.35">
      <c r="B8" s="5" t="s">
        <v>5</v>
      </c>
      <c r="C8" s="1">
        <v>69393.69</v>
      </c>
      <c r="D8" s="6">
        <v>88081.24</v>
      </c>
      <c r="F8" s="7" t="s">
        <v>23</v>
      </c>
      <c r="G8" s="8">
        <f>G5+G6+G7</f>
        <v>-11405.630000000001</v>
      </c>
      <c r="H8" s="9">
        <f>H5+H6+H7</f>
        <v>-28087.430000000004</v>
      </c>
    </row>
    <row r="9" spans="2:12" ht="15" thickBot="1" x14ac:dyDescent="0.35">
      <c r="B9" s="5" t="s">
        <v>6</v>
      </c>
      <c r="C9" s="1">
        <v>143496.43</v>
      </c>
      <c r="D9" s="6">
        <v>108110.33</v>
      </c>
      <c r="F9" s="10"/>
      <c r="G9" s="11"/>
      <c r="H9" s="12"/>
    </row>
    <row r="10" spans="2:12" x14ac:dyDescent="0.3">
      <c r="B10" s="5" t="s">
        <v>7</v>
      </c>
      <c r="C10" s="1">
        <f>C8+C9</f>
        <v>212890.12</v>
      </c>
      <c r="D10" s="6">
        <f>D8+D9</f>
        <v>196191.57</v>
      </c>
      <c r="F10" s="2" t="s">
        <v>31</v>
      </c>
      <c r="G10" s="3"/>
      <c r="H10" s="4"/>
    </row>
    <row r="11" spans="2:12" ht="15" thickBot="1" x14ac:dyDescent="0.35">
      <c r="B11" s="7" t="s">
        <v>8</v>
      </c>
      <c r="C11" s="8">
        <f>C7-C10</f>
        <v>394156.19000000006</v>
      </c>
      <c r="D11" s="9">
        <f>D7-D10</f>
        <v>334021.33</v>
      </c>
      <c r="F11" s="5" t="s">
        <v>24</v>
      </c>
      <c r="G11" s="1">
        <f>C20/C16</f>
        <v>0.11527596747746127</v>
      </c>
      <c r="H11" s="6">
        <f>D20/D16</f>
        <v>9.9284997421199381E-2</v>
      </c>
    </row>
    <row r="12" spans="2:12" ht="15" thickBot="1" x14ac:dyDescent="0.35">
      <c r="F12" s="5" t="s">
        <v>25</v>
      </c>
      <c r="G12" s="1">
        <f>C22/C16</f>
        <v>8.6133794419999174E-2</v>
      </c>
      <c r="H12" s="6">
        <f>D22/D16</f>
        <v>7.0416597107997858E-2</v>
      </c>
    </row>
    <row r="13" spans="2:12" x14ac:dyDescent="0.3">
      <c r="B13" s="2" t="s">
        <v>9</v>
      </c>
      <c r="C13" s="3"/>
      <c r="D13" s="4" t="s">
        <v>44</v>
      </c>
      <c r="F13" s="5" t="s">
        <v>32</v>
      </c>
      <c r="G13" s="1"/>
      <c r="H13" s="6"/>
      <c r="J13" s="2"/>
      <c r="K13" s="3" t="s">
        <v>1</v>
      </c>
      <c r="L13" s="4" t="s">
        <v>43</v>
      </c>
    </row>
    <row r="14" spans="2:12" x14ac:dyDescent="0.3">
      <c r="B14" s="5"/>
      <c r="C14" s="1"/>
      <c r="D14" s="6"/>
      <c r="F14" s="5" t="s">
        <v>26</v>
      </c>
      <c r="G14" s="1">
        <f>C22/C11</f>
        <v>0.15513484641710171</v>
      </c>
      <c r="H14" s="6">
        <f>D22/D11</f>
        <v>0.13407263542121708</v>
      </c>
      <c r="J14" s="5" t="s">
        <v>37</v>
      </c>
      <c r="K14" s="1">
        <v>76439.28</v>
      </c>
      <c r="L14" s="6">
        <v>48078.879999999997</v>
      </c>
    </row>
    <row r="15" spans="2:12" x14ac:dyDescent="0.3">
      <c r="B15" s="5"/>
      <c r="C15" s="1" t="s">
        <v>1</v>
      </c>
      <c r="D15" s="6" t="s">
        <v>43</v>
      </c>
      <c r="F15" s="5" t="s">
        <v>27</v>
      </c>
      <c r="G15" s="1">
        <f>C20/(C7-C9)</f>
        <v>0.17654134653211423</v>
      </c>
      <c r="H15" s="6">
        <f>D20/(D7-D9)</f>
        <v>0.14959082101774468</v>
      </c>
      <c r="J15" s="5" t="s">
        <v>38</v>
      </c>
      <c r="K15" s="1">
        <v>190551.29</v>
      </c>
      <c r="L15" s="6">
        <v>127281.78</v>
      </c>
    </row>
    <row r="16" spans="2:12" x14ac:dyDescent="0.3">
      <c r="B16" s="5" t="s">
        <v>10</v>
      </c>
      <c r="C16" s="1">
        <v>709911.37</v>
      </c>
      <c r="D16" s="6">
        <v>635973.93000000005</v>
      </c>
      <c r="F16" s="5" t="s">
        <v>28</v>
      </c>
      <c r="G16" s="1">
        <f>C22/C7</f>
        <v>0.10072931668096288</v>
      </c>
      <c r="H16" s="6">
        <f>D22/D7</f>
        <v>8.446252439350313E-2</v>
      </c>
      <c r="J16" s="5" t="s">
        <v>39</v>
      </c>
      <c r="K16" s="1">
        <v>23.84</v>
      </c>
      <c r="L16" s="6">
        <v>17.46</v>
      </c>
    </row>
    <row r="17" spans="2:12" x14ac:dyDescent="0.3">
      <c r="B17" s="5" t="s">
        <v>15</v>
      </c>
      <c r="C17" s="1">
        <v>334374.65999999997</v>
      </c>
      <c r="D17" s="6">
        <v>319307.28000000003</v>
      </c>
      <c r="F17" s="5" t="s">
        <v>33</v>
      </c>
      <c r="G17" s="1"/>
      <c r="H17" s="6"/>
      <c r="J17" s="5" t="s">
        <v>41</v>
      </c>
      <c r="K17" s="1">
        <f>(K16-L16)/K16</f>
        <v>0.26761744966442946</v>
      </c>
      <c r="L17" s="6"/>
    </row>
    <row r="18" spans="2:12" x14ac:dyDescent="0.3">
      <c r="B18" s="5" t="s">
        <v>16</v>
      </c>
      <c r="C18" s="1">
        <f>C16-C17</f>
        <v>375536.71</v>
      </c>
      <c r="D18" s="6">
        <f>D16-D17</f>
        <v>316666.65000000002</v>
      </c>
      <c r="F18" s="5" t="s">
        <v>29</v>
      </c>
      <c r="G18" s="1">
        <f>C10/C11</f>
        <v>0.54011614025394339</v>
      </c>
      <c r="H18" s="6">
        <f>D10/D11</f>
        <v>0.58736239988027106</v>
      </c>
      <c r="J18" s="5" t="s">
        <v>40</v>
      </c>
      <c r="K18" s="1">
        <f>506/K16</f>
        <v>21.224832214765101</v>
      </c>
      <c r="L18" s="6"/>
    </row>
    <row r="19" spans="2:12" ht="15" thickBot="1" x14ac:dyDescent="0.35">
      <c r="B19" s="5" t="s">
        <v>11</v>
      </c>
      <c r="C19" s="1">
        <f>628075.65-C17</f>
        <v>293700.99000000005</v>
      </c>
      <c r="D19" s="6">
        <f>572831.26-D17</f>
        <v>253523.97999999998</v>
      </c>
      <c r="F19" s="5" t="s">
        <v>30</v>
      </c>
      <c r="G19" s="1">
        <f>C10/C7</f>
        <v>0.3506983182222127</v>
      </c>
      <c r="H19" s="6">
        <f>D10/D7</f>
        <v>0.37002413558779879</v>
      </c>
      <c r="J19" s="7" t="s">
        <v>42</v>
      </c>
      <c r="K19" s="8">
        <f>K18/K17</f>
        <v>79.310344827586235</v>
      </c>
      <c r="L19" s="9"/>
    </row>
    <row r="20" spans="2:12" x14ac:dyDescent="0.3">
      <c r="B20" s="5" t="s">
        <v>12</v>
      </c>
      <c r="C20" s="1">
        <f>C18-C19</f>
        <v>81835.719999999972</v>
      </c>
      <c r="D20" s="6">
        <f>D18-D19</f>
        <v>63142.670000000042</v>
      </c>
      <c r="F20" s="5" t="s">
        <v>34</v>
      </c>
      <c r="G20" s="1"/>
      <c r="H20" s="6"/>
    </row>
    <row r="21" spans="2:12" x14ac:dyDescent="0.3">
      <c r="B21" s="5" t="s">
        <v>13</v>
      </c>
      <c r="C21" s="1">
        <f>21638.77+20.04-970.45</f>
        <v>20688.36</v>
      </c>
      <c r="D21" s="6">
        <f>17513.85+845.7</f>
        <v>18359.55</v>
      </c>
      <c r="F21" s="5" t="s">
        <v>35</v>
      </c>
      <c r="G21" s="1">
        <f>C17/K14</f>
        <v>4.3743826472462848</v>
      </c>
      <c r="H21" s="6">
        <f>D17/L14</f>
        <v>6.6413210956661226</v>
      </c>
    </row>
    <row r="22" spans="2:12" ht="15" thickBot="1" x14ac:dyDescent="0.35">
      <c r="B22" s="5" t="s">
        <v>14</v>
      </c>
      <c r="C22" s="1">
        <f>C20-C21</f>
        <v>61147.359999999971</v>
      </c>
      <c r="D22" s="6">
        <f>D20-D21</f>
        <v>44783.120000000039</v>
      </c>
      <c r="F22" s="7" t="s">
        <v>36</v>
      </c>
      <c r="G22" s="8">
        <f>2*C16/(C7+D7)</f>
        <v>1.2484600938074619</v>
      </c>
      <c r="H22" s="9"/>
    </row>
    <row r="23" spans="2:12" x14ac:dyDescent="0.3">
      <c r="B23" s="5" t="s">
        <v>17</v>
      </c>
      <c r="C23" s="1">
        <f>361.08-90.88</f>
        <v>270.2</v>
      </c>
      <c r="D23" s="6">
        <f>-435.82+109.69</f>
        <v>-326.13</v>
      </c>
    </row>
    <row r="24" spans="2:12" ht="15" thickBot="1" x14ac:dyDescent="0.35">
      <c r="B24" s="7" t="s">
        <v>18</v>
      </c>
      <c r="C24" s="8">
        <f>C22+C23</f>
        <v>61417.559999999969</v>
      </c>
      <c r="D24" s="9">
        <f>D22+D23</f>
        <v>44456.990000000042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E2E4-E773-4C3D-96F7-6F50EF8FAC82}">
  <dimension ref="B1:L24"/>
  <sheetViews>
    <sheetView zoomScale="99" workbookViewId="0">
      <selection activeCell="H9" sqref="H9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44</v>
      </c>
      <c r="F2" s="2" t="s">
        <v>19</v>
      </c>
      <c r="G2" s="3"/>
      <c r="H2" s="4" t="s">
        <v>44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43</v>
      </c>
      <c r="F4" s="5"/>
      <c r="G4" s="1" t="s">
        <v>1</v>
      </c>
      <c r="H4" s="6" t="s">
        <v>43</v>
      </c>
    </row>
    <row r="5" spans="2:12" x14ac:dyDescent="0.3">
      <c r="B5" s="5" t="s">
        <v>2</v>
      </c>
      <c r="C5" s="1">
        <v>88488.49</v>
      </c>
      <c r="D5" s="6">
        <v>97716.26</v>
      </c>
      <c r="F5" s="5" t="s">
        <v>20</v>
      </c>
      <c r="G5" s="1">
        <v>4421.9799999999996</v>
      </c>
      <c r="H5" s="6">
        <v>-13429.7</v>
      </c>
    </row>
    <row r="6" spans="2:12" x14ac:dyDescent="0.3">
      <c r="B6" s="5" t="s">
        <v>3</v>
      </c>
      <c r="C6" s="1">
        <v>446867.3</v>
      </c>
      <c r="D6" s="6">
        <v>394373.84</v>
      </c>
      <c r="F6" s="5" t="s">
        <v>21</v>
      </c>
      <c r="G6" s="1">
        <v>5561.51</v>
      </c>
      <c r="H6" s="6">
        <v>-10756.81</v>
      </c>
    </row>
    <row r="7" spans="2:12" x14ac:dyDescent="0.3">
      <c r="B7" s="5" t="s">
        <v>4</v>
      </c>
      <c r="C7" s="1">
        <f>C5+C6</f>
        <v>535355.79</v>
      </c>
      <c r="D7" s="6">
        <f>D5+D6</f>
        <v>492090.10000000003</v>
      </c>
      <c r="F7" s="5" t="s">
        <v>22</v>
      </c>
      <c r="G7" s="1">
        <v>-4363.78</v>
      </c>
      <c r="H7" s="6">
        <v>20116.03</v>
      </c>
    </row>
    <row r="8" spans="2:12" ht="15" thickBot="1" x14ac:dyDescent="0.35">
      <c r="B8" s="5" t="s">
        <v>5</v>
      </c>
      <c r="C8" s="1">
        <v>23766.34</v>
      </c>
      <c r="D8" s="6">
        <v>36924.51</v>
      </c>
      <c r="F8" s="7" t="s">
        <v>23</v>
      </c>
      <c r="G8" s="8">
        <f>G5+G6+G7</f>
        <v>5619.71</v>
      </c>
      <c r="H8" s="9">
        <f>H5+H6+H7</f>
        <v>-4070.4800000000032</v>
      </c>
    </row>
    <row r="9" spans="2:12" ht="15" thickBot="1" x14ac:dyDescent="0.35">
      <c r="B9" s="5" t="s">
        <v>6</v>
      </c>
      <c r="C9" s="1">
        <v>317018.53999999998</v>
      </c>
      <c r="D9" s="6">
        <v>276842.38</v>
      </c>
      <c r="F9" s="10"/>
      <c r="G9" s="11"/>
      <c r="H9" s="12"/>
    </row>
    <row r="10" spans="2:12" x14ac:dyDescent="0.3">
      <c r="B10" s="5" t="s">
        <v>7</v>
      </c>
      <c r="C10" s="1">
        <f>C8+C9</f>
        <v>340784.88</v>
      </c>
      <c r="D10" s="6">
        <f>D8+D9</f>
        <v>313766.89</v>
      </c>
      <c r="F10" s="2" t="s">
        <v>31</v>
      </c>
      <c r="G10" s="3"/>
      <c r="H10" s="4"/>
    </row>
    <row r="11" spans="2:12" ht="15" thickBot="1" x14ac:dyDescent="0.35">
      <c r="B11" s="7" t="s">
        <v>8</v>
      </c>
      <c r="C11" s="8">
        <f>C7-C10</f>
        <v>194570.91000000003</v>
      </c>
      <c r="D11" s="9">
        <f>D7-D10</f>
        <v>178323.21000000002</v>
      </c>
      <c r="F11" s="5" t="s">
        <v>24</v>
      </c>
      <c r="G11" s="1">
        <f>C20/C16</f>
        <v>5.0010688287524946E-2</v>
      </c>
      <c r="H11" s="6">
        <f>D20/D16</f>
        <v>3.2896222309778754E-2</v>
      </c>
    </row>
    <row r="12" spans="2:12" ht="15" thickBot="1" x14ac:dyDescent="0.35">
      <c r="F12" s="5" t="s">
        <v>25</v>
      </c>
      <c r="G12" s="1">
        <f>C22/C16</f>
        <v>3.7961759037587549E-2</v>
      </c>
      <c r="H12" s="6">
        <f>D22/D16</f>
        <v>2.5236280954617961E-2</v>
      </c>
    </row>
    <row r="13" spans="2:12" x14ac:dyDescent="0.3">
      <c r="B13" s="2" t="s">
        <v>9</v>
      </c>
      <c r="C13" s="3"/>
      <c r="D13" s="4" t="s">
        <v>44</v>
      </c>
      <c r="F13" s="5" t="s">
        <v>32</v>
      </c>
      <c r="G13" s="1"/>
      <c r="H13" s="6"/>
      <c r="J13" s="2"/>
      <c r="K13" s="3" t="s">
        <v>1</v>
      </c>
      <c r="L13" s="4" t="s">
        <v>43</v>
      </c>
    </row>
    <row r="14" spans="2:12" x14ac:dyDescent="0.3">
      <c r="B14" s="5"/>
      <c r="C14" s="1"/>
      <c r="D14" s="6"/>
      <c r="F14" s="5" t="s">
        <v>26</v>
      </c>
      <c r="G14" s="1">
        <f>C22/C11</f>
        <v>9.1443885419459248E-2</v>
      </c>
      <c r="H14" s="6">
        <f>D22/D11</f>
        <v>6.326652598952183E-2</v>
      </c>
      <c r="J14" s="5" t="s">
        <v>37</v>
      </c>
      <c r="K14" s="1">
        <v>64111.26</v>
      </c>
      <c r="L14" s="6">
        <v>55155.18</v>
      </c>
    </row>
    <row r="15" spans="2:12" x14ac:dyDescent="0.3">
      <c r="B15" s="5"/>
      <c r="C15" s="1" t="s">
        <v>1</v>
      </c>
      <c r="D15" s="6" t="s">
        <v>43</v>
      </c>
      <c r="F15" s="5" t="s">
        <v>27</v>
      </c>
      <c r="G15" s="1">
        <f>C20/(C7-C9)</f>
        <v>0.10735474592631314</v>
      </c>
      <c r="H15" s="6">
        <f>D20/(D7-D9)</f>
        <v>6.8322535541839688E-2</v>
      </c>
      <c r="J15" s="5" t="s">
        <v>38</v>
      </c>
      <c r="K15" s="1">
        <f>6957.25+278817.91</f>
        <v>285775.15999999997</v>
      </c>
      <c r="L15" s="6">
        <f>18674.92+227909.69</f>
        <v>246584.61</v>
      </c>
    </row>
    <row r="16" spans="2:12" x14ac:dyDescent="0.3">
      <c r="B16" s="5" t="s">
        <v>10</v>
      </c>
      <c r="C16" s="1">
        <v>468690.61</v>
      </c>
      <c r="D16" s="6">
        <v>447050.42</v>
      </c>
      <c r="F16" s="5" t="s">
        <v>28</v>
      </c>
      <c r="G16" s="1">
        <f>C22/C7</f>
        <v>3.3234570975686877E-2</v>
      </c>
      <c r="H16" s="6">
        <f>D22/D7</f>
        <v>2.2926472204988394E-2</v>
      </c>
      <c r="J16" s="5" t="s">
        <v>39</v>
      </c>
      <c r="K16" s="1">
        <v>24.2</v>
      </c>
      <c r="L16" s="6">
        <v>15.34</v>
      </c>
    </row>
    <row r="17" spans="2:12" x14ac:dyDescent="0.3">
      <c r="B17" s="5" t="s">
        <v>15</v>
      </c>
      <c r="C17" s="1">
        <v>181015.41</v>
      </c>
      <c r="D17" s="6">
        <v>200913.68</v>
      </c>
      <c r="F17" s="5" t="s">
        <v>33</v>
      </c>
      <c r="G17" s="1"/>
      <c r="H17" s="6"/>
      <c r="J17" s="5" t="s">
        <v>41</v>
      </c>
      <c r="K17" s="1">
        <f>(K16-L16)/K16</f>
        <v>0.36611570247933883</v>
      </c>
      <c r="L17" s="6"/>
    </row>
    <row r="18" spans="2:12" x14ac:dyDescent="0.3">
      <c r="B18" s="5" t="s">
        <v>16</v>
      </c>
      <c r="C18" s="1">
        <f>C16-C17</f>
        <v>287675.19999999995</v>
      </c>
      <c r="D18" s="6">
        <f>D16-D17</f>
        <v>246136.74</v>
      </c>
      <c r="F18" s="5" t="s">
        <v>29</v>
      </c>
      <c r="G18" s="1">
        <f>C10/C11</f>
        <v>1.7514688089807462</v>
      </c>
      <c r="H18" s="6">
        <f>D10/D11</f>
        <v>1.7595403873674098</v>
      </c>
      <c r="J18" s="5" t="s">
        <v>40</v>
      </c>
      <c r="K18" s="1">
        <f>1150/K16</f>
        <v>47.520661157024797</v>
      </c>
      <c r="L18" s="6"/>
    </row>
    <row r="19" spans="2:12" ht="15" thickBot="1" x14ac:dyDescent="0.35">
      <c r="B19" s="5" t="s">
        <v>11</v>
      </c>
      <c r="C19" s="1">
        <f>445251.07-181015.41</f>
        <v>264235.66000000003</v>
      </c>
      <c r="D19" s="6">
        <f>432344.15-200913.68</f>
        <v>231430.47000000003</v>
      </c>
      <c r="F19" s="5" t="s">
        <v>30</v>
      </c>
      <c r="G19" s="1">
        <f>C10/C7</f>
        <v>0.63655775535742309</v>
      </c>
      <c r="H19" s="6">
        <f>D10/D7</f>
        <v>0.63762081374935198</v>
      </c>
      <c r="J19" s="7" t="s">
        <v>42</v>
      </c>
      <c r="K19" s="8">
        <f>K18/K17</f>
        <v>129.79683972911965</v>
      </c>
      <c r="L19" s="9"/>
    </row>
    <row r="20" spans="2:12" x14ac:dyDescent="0.3">
      <c r="B20" s="5" t="s">
        <v>12</v>
      </c>
      <c r="C20" s="1">
        <f>C18-C19</f>
        <v>23439.539999999921</v>
      </c>
      <c r="D20" s="6">
        <f>D18-D19</f>
        <v>14706.26999999996</v>
      </c>
      <c r="F20" s="5" t="s">
        <v>34</v>
      </c>
      <c r="G20" s="1"/>
      <c r="H20" s="6"/>
    </row>
    <row r="21" spans="2:12" x14ac:dyDescent="0.3">
      <c r="B21" s="5" t="s">
        <v>13</v>
      </c>
      <c r="C21" s="1">
        <v>5647.22</v>
      </c>
      <c r="D21" s="6">
        <v>3424.38</v>
      </c>
      <c r="F21" s="5" t="s">
        <v>35</v>
      </c>
      <c r="G21" s="1">
        <f>C17/K14</f>
        <v>2.8234573770660565</v>
      </c>
      <c r="H21" s="6">
        <f>D17/L14</f>
        <v>3.6426982923453424</v>
      </c>
    </row>
    <row r="22" spans="2:12" ht="15" thickBot="1" x14ac:dyDescent="0.35">
      <c r="B22" s="5" t="s">
        <v>14</v>
      </c>
      <c r="C22" s="1">
        <f>C20-C21</f>
        <v>17792.31999999992</v>
      </c>
      <c r="D22" s="6">
        <f>D20-D21</f>
        <v>11281.889999999959</v>
      </c>
      <c r="F22" s="7" t="s">
        <v>36</v>
      </c>
      <c r="G22" s="8">
        <f>2*C16/(C7+D7)</f>
        <v>0.91234120368129545</v>
      </c>
      <c r="H22" s="9"/>
    </row>
    <row r="23" spans="2:12" x14ac:dyDescent="0.3">
      <c r="B23" s="5" t="s">
        <v>17</v>
      </c>
      <c r="C23" s="1">
        <v>-74.03</v>
      </c>
      <c r="D23" s="6">
        <v>317.89999999999998</v>
      </c>
    </row>
    <row r="24" spans="2:12" ht="15" thickBot="1" x14ac:dyDescent="0.35">
      <c r="B24" s="7" t="s">
        <v>18</v>
      </c>
      <c r="C24" s="8">
        <f>C22+C23</f>
        <v>17718.289999999921</v>
      </c>
      <c r="D24" s="9">
        <f>D22+D23</f>
        <v>11599.789999999959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9071-FB7B-4A0B-8506-F72B403E026C}">
  <dimension ref="B1:L24"/>
  <sheetViews>
    <sheetView topLeftCell="B1" zoomScale="99" workbookViewId="0">
      <selection activeCell="H8" sqref="H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44</v>
      </c>
      <c r="F2" s="2" t="s">
        <v>19</v>
      </c>
      <c r="G2" s="3"/>
      <c r="H2" s="4" t="s">
        <v>44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43</v>
      </c>
      <c r="F4" s="5"/>
      <c r="G4" s="1" t="s">
        <v>1</v>
      </c>
      <c r="H4" s="6" t="s">
        <v>43</v>
      </c>
    </row>
    <row r="5" spans="2:12" x14ac:dyDescent="0.3">
      <c r="B5" s="5" t="s">
        <v>2</v>
      </c>
      <c r="C5" s="1">
        <v>204856.53</v>
      </c>
      <c r="D5" s="6">
        <v>159887.76</v>
      </c>
      <c r="F5" s="5" t="s">
        <v>20</v>
      </c>
      <c r="G5" s="1">
        <v>7276.28</v>
      </c>
      <c r="H5" s="6">
        <v>16107.97</v>
      </c>
    </row>
    <row r="6" spans="2:12" x14ac:dyDescent="0.3">
      <c r="B6" s="5" t="s">
        <v>3</v>
      </c>
      <c r="C6" s="1">
        <v>433793.85</v>
      </c>
      <c r="D6" s="6">
        <v>334124.2</v>
      </c>
      <c r="F6" s="5" t="s">
        <v>21</v>
      </c>
      <c r="G6" s="1">
        <v>-39085.440000000002</v>
      </c>
      <c r="H6" s="6">
        <v>-25173.1</v>
      </c>
    </row>
    <row r="7" spans="2:12" x14ac:dyDescent="0.3">
      <c r="B7" s="5" t="s">
        <v>4</v>
      </c>
      <c r="C7" s="1">
        <v>720002.09</v>
      </c>
      <c r="D7" s="6">
        <v>536605.59</v>
      </c>
      <c r="F7" s="5" t="s">
        <v>22</v>
      </c>
      <c r="G7" s="1">
        <v>33590.620000000003</v>
      </c>
      <c r="H7" s="6">
        <v>2545.77</v>
      </c>
    </row>
    <row r="8" spans="2:12" ht="15" thickBot="1" x14ac:dyDescent="0.35">
      <c r="B8" s="5" t="s">
        <v>5</v>
      </c>
      <c r="C8" s="1">
        <v>62648.35</v>
      </c>
      <c r="D8" s="6">
        <v>56575.97</v>
      </c>
      <c r="F8" s="7" t="s">
        <v>23</v>
      </c>
      <c r="G8" s="8">
        <f>G5+G6+G7</f>
        <v>1781.4599999999991</v>
      </c>
      <c r="H8" s="9">
        <f>H5+H6+H7</f>
        <v>-6519.3599999999988</v>
      </c>
    </row>
    <row r="9" spans="2:12" ht="15" thickBot="1" x14ac:dyDescent="0.35">
      <c r="B9" s="5" t="s">
        <v>6</v>
      </c>
      <c r="C9" s="1">
        <v>316057.36</v>
      </c>
      <c r="D9" s="6">
        <v>210158.28</v>
      </c>
      <c r="F9" s="10"/>
      <c r="G9" s="11"/>
      <c r="H9" s="12"/>
    </row>
    <row r="10" spans="2:12" x14ac:dyDescent="0.3">
      <c r="B10" s="5" t="s">
        <v>7</v>
      </c>
      <c r="C10" s="1">
        <v>383029.81</v>
      </c>
      <c r="D10" s="6">
        <v>266734.25</v>
      </c>
      <c r="F10" s="2" t="s">
        <v>31</v>
      </c>
      <c r="G10" s="3"/>
      <c r="H10" s="4"/>
    </row>
    <row r="11" spans="2:12" ht="15" thickBot="1" x14ac:dyDescent="0.35">
      <c r="B11" s="7" t="s">
        <v>8</v>
      </c>
      <c r="C11" s="8">
        <f>C7-C10</f>
        <v>336972.27999999997</v>
      </c>
      <c r="D11" s="9">
        <f>D7-D10</f>
        <v>269871.33999999997</v>
      </c>
      <c r="F11" s="5" t="s">
        <v>24</v>
      </c>
      <c r="G11" s="1">
        <f>C20/C16</f>
        <v>0.11937209535457095</v>
      </c>
      <c r="H11" s="6">
        <f>D20/D16</f>
        <v>-4.6675801531581219E-2</v>
      </c>
    </row>
    <row r="12" spans="2:12" ht="15" thickBot="1" x14ac:dyDescent="0.35">
      <c r="F12" s="5" t="s">
        <v>25</v>
      </c>
      <c r="G12" s="1">
        <f>C22/C16</f>
        <v>0.10362313643525041</v>
      </c>
      <c r="H12" s="6">
        <f>D22/D16</f>
        <v>-6.443202747824385E-2</v>
      </c>
    </row>
    <row r="13" spans="2:12" x14ac:dyDescent="0.3">
      <c r="B13" s="2" t="s">
        <v>9</v>
      </c>
      <c r="C13" s="3"/>
      <c r="D13" s="4" t="s">
        <v>44</v>
      </c>
      <c r="F13" s="5" t="s">
        <v>32</v>
      </c>
      <c r="G13" s="1"/>
      <c r="H13" s="6"/>
      <c r="J13" s="2"/>
      <c r="K13" s="3" t="s">
        <v>1</v>
      </c>
      <c r="L13" s="4" t="s">
        <v>43</v>
      </c>
    </row>
    <row r="14" spans="2:12" x14ac:dyDescent="0.3">
      <c r="B14" s="5"/>
      <c r="C14" s="1"/>
      <c r="D14" s="6"/>
      <c r="F14" s="5" t="s">
        <v>26</v>
      </c>
      <c r="G14" s="1">
        <f>C22/C11</f>
        <v>0.19920736506872305</v>
      </c>
      <c r="H14" s="6">
        <f>D22/D11</f>
        <v>-0.11436864692634671</v>
      </c>
      <c r="J14" s="5" t="s">
        <v>37</v>
      </c>
      <c r="K14" s="1">
        <v>29840.81</v>
      </c>
      <c r="L14" s="6">
        <v>18770.29</v>
      </c>
    </row>
    <row r="15" spans="2:12" x14ac:dyDescent="0.3">
      <c r="B15" s="5"/>
      <c r="C15" s="1" t="s">
        <v>1</v>
      </c>
      <c r="D15" s="6" t="s">
        <v>43</v>
      </c>
      <c r="F15" s="5" t="s">
        <v>27</v>
      </c>
      <c r="G15" s="1">
        <f>C20/(C7-C9)</f>
        <v>0.19143604126237757</v>
      </c>
      <c r="H15" s="6">
        <f>D20/(D7-D9)</f>
        <v>-6.8492125115076213E-2</v>
      </c>
      <c r="J15" s="5" t="s">
        <v>38</v>
      </c>
      <c r="K15" s="1">
        <f>15779.53+99116.57</f>
        <v>114896.1</v>
      </c>
      <c r="L15" s="6">
        <f>6458.58+104832.27</f>
        <v>111290.85</v>
      </c>
    </row>
    <row r="16" spans="2:12" x14ac:dyDescent="0.3">
      <c r="B16" s="5" t="s">
        <v>10</v>
      </c>
      <c r="C16" s="1">
        <v>647802.81999999995</v>
      </c>
      <c r="D16" s="6">
        <v>479029.16</v>
      </c>
      <c r="F16" s="5" t="s">
        <v>28</v>
      </c>
      <c r="G16" s="1">
        <f>C22/C7</f>
        <v>9.3232173812162075E-2</v>
      </c>
      <c r="H16" s="6">
        <f>D22/D7</f>
        <v>-5.7518633005668215E-2</v>
      </c>
      <c r="J16" s="5" t="s">
        <v>39</v>
      </c>
      <c r="K16" s="1">
        <v>23.91</v>
      </c>
      <c r="L16" s="6">
        <v>-10.99</v>
      </c>
    </row>
    <row r="17" spans="2:12" x14ac:dyDescent="0.3">
      <c r="B17" s="5" t="s">
        <v>15</v>
      </c>
      <c r="C17" s="1">
        <v>242606.7</v>
      </c>
      <c r="D17" s="6">
        <v>143148.98000000001</v>
      </c>
      <c r="F17" s="5" t="s">
        <v>33</v>
      </c>
      <c r="G17" s="1"/>
      <c r="H17" s="6"/>
      <c r="J17" s="5" t="s">
        <v>41</v>
      </c>
      <c r="K17" s="1">
        <f>(K16-L16)/K16</f>
        <v>1.4596403178586366</v>
      </c>
      <c r="L17" s="6"/>
    </row>
    <row r="18" spans="2:12" x14ac:dyDescent="0.3">
      <c r="B18" s="5" t="s">
        <v>16</v>
      </c>
      <c r="C18" s="1">
        <f>C16-C17</f>
        <v>405196.11999999994</v>
      </c>
      <c r="D18" s="6">
        <f>D16-D17</f>
        <v>335880.17999999993</v>
      </c>
      <c r="F18" s="5" t="s">
        <v>29</v>
      </c>
      <c r="G18" s="1">
        <f>C10/C11</f>
        <v>1.1366804711651655</v>
      </c>
      <c r="H18" s="6">
        <f>D10/D11</f>
        <v>0.98837560891052767</v>
      </c>
      <c r="J18" s="5" t="s">
        <v>40</v>
      </c>
      <c r="K18" s="1">
        <f>220/K16</f>
        <v>9.2011710581346708</v>
      </c>
      <c r="L18" s="6"/>
    </row>
    <row r="19" spans="2:12" ht="15" thickBot="1" x14ac:dyDescent="0.35">
      <c r="B19" s="5" t="s">
        <v>11</v>
      </c>
      <c r="C19" s="1">
        <f>605388.38-C17-34915.14</f>
        <v>327866.53999999998</v>
      </c>
      <c r="D19" s="6">
        <f>424428.23-D17+76960</f>
        <v>358239.25</v>
      </c>
      <c r="F19" s="5" t="s">
        <v>30</v>
      </c>
      <c r="G19" s="1">
        <f>C10/C7</f>
        <v>0.53198430299000943</v>
      </c>
      <c r="H19" s="6">
        <f>D10/D7</f>
        <v>0.4970769126724901</v>
      </c>
      <c r="J19" s="7" t="s">
        <v>42</v>
      </c>
      <c r="K19" s="8">
        <f>K18/K17</f>
        <v>6.3037249283667611</v>
      </c>
      <c r="L19" s="9"/>
    </row>
    <row r="20" spans="2:12" x14ac:dyDescent="0.3">
      <c r="B20" s="5" t="s">
        <v>12</v>
      </c>
      <c r="C20" s="1">
        <f>C18-C19</f>
        <v>77329.579999999958</v>
      </c>
      <c r="D20" s="6">
        <f>D18-D19</f>
        <v>-22359.070000000065</v>
      </c>
      <c r="F20" s="5" t="s">
        <v>34</v>
      </c>
      <c r="G20" s="1"/>
      <c r="H20" s="6"/>
    </row>
    <row r="21" spans="2:12" x14ac:dyDescent="0.3">
      <c r="B21" s="5" t="s">
        <v>13</v>
      </c>
      <c r="C21" s="1">
        <v>10202.219999999999</v>
      </c>
      <c r="D21" s="6">
        <v>8505.75</v>
      </c>
      <c r="F21" s="5" t="s">
        <v>35</v>
      </c>
      <c r="G21" s="1">
        <f>C17/K14</f>
        <v>8.1300306526531951</v>
      </c>
      <c r="H21" s="6">
        <f>D17/L14</f>
        <v>7.6263595288085586</v>
      </c>
    </row>
    <row r="22" spans="2:12" ht="15" thickBot="1" x14ac:dyDescent="0.35">
      <c r="B22" s="5" t="s">
        <v>14</v>
      </c>
      <c r="C22" s="1">
        <f>C20-C21</f>
        <v>67127.359999999957</v>
      </c>
      <c r="D22" s="6">
        <f>D20-D21</f>
        <v>-30864.820000000065</v>
      </c>
      <c r="F22" s="7" t="s">
        <v>36</v>
      </c>
      <c r="G22" s="8">
        <f>2*C16/(C7+D7)</f>
        <v>1.0310343161359636</v>
      </c>
      <c r="H22" s="9"/>
    </row>
    <row r="23" spans="2:12" x14ac:dyDescent="0.3">
      <c r="B23" s="5" t="s">
        <v>17</v>
      </c>
      <c r="C23" s="1">
        <v>-26.42</v>
      </c>
      <c r="D23" s="6">
        <v>62.53</v>
      </c>
    </row>
    <row r="24" spans="2:12" ht="15" thickBot="1" x14ac:dyDescent="0.35">
      <c r="B24" s="7" t="s">
        <v>18</v>
      </c>
      <c r="C24" s="8">
        <f>C22+C23</f>
        <v>67100.939999999959</v>
      </c>
      <c r="D24" s="9">
        <f>D22+D23</f>
        <v>-30802.290000000066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864A-727D-49E3-9FC9-68AC999EF094}">
  <dimension ref="B1:L24"/>
  <sheetViews>
    <sheetView topLeftCell="D1" zoomScale="99" workbookViewId="0">
      <selection activeCell="G8" sqref="G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44</v>
      </c>
      <c r="F2" s="2" t="s">
        <v>19</v>
      </c>
      <c r="G2" s="3"/>
      <c r="H2" s="4" t="s">
        <v>44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43</v>
      </c>
      <c r="F4" s="5"/>
      <c r="G4" s="1" t="s">
        <v>1</v>
      </c>
      <c r="H4" s="6" t="s">
        <v>43</v>
      </c>
    </row>
    <row r="5" spans="2:12" x14ac:dyDescent="0.3">
      <c r="B5" s="5" t="s">
        <v>2</v>
      </c>
      <c r="C5" s="1">
        <v>341824</v>
      </c>
      <c r="D5" s="6">
        <v>474908</v>
      </c>
      <c r="F5" s="5" t="s">
        <v>20</v>
      </c>
      <c r="G5" s="1">
        <v>49716</v>
      </c>
      <c r="H5" s="6">
        <v>50339</v>
      </c>
    </row>
    <row r="6" spans="2:12" x14ac:dyDescent="0.3">
      <c r="B6" s="5" t="s">
        <v>3</v>
      </c>
      <c r="C6" s="1">
        <v>85259</v>
      </c>
      <c r="D6" s="6">
        <v>80550</v>
      </c>
      <c r="F6" s="5" t="s">
        <v>21</v>
      </c>
      <c r="G6" s="1">
        <v>-3668</v>
      </c>
      <c r="H6" s="6">
        <v>-6422</v>
      </c>
    </row>
    <row r="7" spans="2:12" x14ac:dyDescent="0.3">
      <c r="B7" s="5" t="s">
        <v>4</v>
      </c>
      <c r="C7" s="1">
        <f>C5+C6</f>
        <v>427083</v>
      </c>
      <c r="D7" s="6">
        <f>D5+D6</f>
        <v>555458</v>
      </c>
      <c r="F7" s="5" t="s">
        <v>22</v>
      </c>
      <c r="G7" s="1">
        <v>-45291</v>
      </c>
      <c r="H7" s="6">
        <v>-38723</v>
      </c>
    </row>
    <row r="8" spans="2:12" ht="15" thickBot="1" x14ac:dyDescent="0.35">
      <c r="B8" s="5" t="s">
        <v>5</v>
      </c>
      <c r="C8" s="1">
        <v>59334</v>
      </c>
      <c r="D8" s="6">
        <v>65796</v>
      </c>
      <c r="F8" s="7" t="s">
        <v>23</v>
      </c>
      <c r="G8" s="8">
        <f>G5+G6+G7</f>
        <v>757</v>
      </c>
      <c r="H8" s="9">
        <f>H5+H6+H7</f>
        <v>5194</v>
      </c>
    </row>
    <row r="9" spans="2:12" ht="15" thickBot="1" x14ac:dyDescent="0.35">
      <c r="B9" s="5" t="s">
        <v>6</v>
      </c>
      <c r="C9" s="1">
        <v>821823</v>
      </c>
      <c r="D9" s="6">
        <v>764216</v>
      </c>
      <c r="F9" s="10"/>
      <c r="G9" s="11"/>
      <c r="H9" s="12"/>
    </row>
    <row r="10" spans="2:12" x14ac:dyDescent="0.3">
      <c r="B10" s="5" t="s">
        <v>7</v>
      </c>
      <c r="C10" s="1">
        <f>C8+C9</f>
        <v>881157</v>
      </c>
      <c r="D10" s="6">
        <f>D8+D9</f>
        <v>830012</v>
      </c>
      <c r="F10" s="2" t="s">
        <v>31</v>
      </c>
      <c r="G10" s="3"/>
      <c r="H10" s="4"/>
    </row>
    <row r="11" spans="2:12" ht="15" thickBot="1" x14ac:dyDescent="0.35">
      <c r="B11" s="7" t="s">
        <v>8</v>
      </c>
      <c r="C11" s="8">
        <f>C7-C10</f>
        <v>-454074</v>
      </c>
      <c r="D11" s="9">
        <f>D7-D10</f>
        <v>-274554</v>
      </c>
      <c r="F11" s="5" t="s">
        <v>24</v>
      </c>
      <c r="G11" s="1">
        <f>C20/C16</f>
        <v>-1.2232365871557163</v>
      </c>
      <c r="H11" s="6">
        <f>D20/D16</f>
        <v>-0.99849684133550909</v>
      </c>
    </row>
    <row r="12" spans="2:12" ht="15" thickBot="1" x14ac:dyDescent="0.35">
      <c r="F12" s="5" t="s">
        <v>25</v>
      </c>
      <c r="G12" s="1">
        <f>C22/C16</f>
        <v>-1.2232365871557163</v>
      </c>
      <c r="H12" s="6">
        <f>D22/D16</f>
        <v>-0.99849684133550909</v>
      </c>
    </row>
    <row r="13" spans="2:12" x14ac:dyDescent="0.3">
      <c r="B13" s="2" t="s">
        <v>9</v>
      </c>
      <c r="C13" s="3"/>
      <c r="D13" s="4" t="s">
        <v>44</v>
      </c>
      <c r="F13" s="5" t="s">
        <v>32</v>
      </c>
      <c r="G13" s="1"/>
      <c r="H13" s="6"/>
      <c r="J13" s="2"/>
      <c r="K13" s="3" t="s">
        <v>1</v>
      </c>
      <c r="L13" s="4" t="s">
        <v>43</v>
      </c>
    </row>
    <row r="14" spans="2:12" x14ac:dyDescent="0.3">
      <c r="B14" s="5"/>
      <c r="C14" s="1"/>
      <c r="D14" s="6"/>
      <c r="F14" s="5" t="s">
        <v>26</v>
      </c>
      <c r="G14" s="1">
        <f>C22/C11</f>
        <v>0.40013522025044373</v>
      </c>
      <c r="H14" s="6">
        <f>D22/D11</f>
        <v>0.53711473881276539</v>
      </c>
      <c r="J14" s="5" t="s">
        <v>37</v>
      </c>
      <c r="K14" s="1">
        <v>447</v>
      </c>
      <c r="L14" s="6">
        <v>469</v>
      </c>
    </row>
    <row r="15" spans="2:12" x14ac:dyDescent="0.3">
      <c r="B15" s="5"/>
      <c r="C15" s="1" t="s">
        <v>1</v>
      </c>
      <c r="D15" s="6" t="s">
        <v>43</v>
      </c>
      <c r="F15" s="5" t="s">
        <v>27</v>
      </c>
      <c r="G15" s="1">
        <f>C20/(C7-C9)</f>
        <v>0.46028018442519125</v>
      </c>
      <c r="H15" s="6">
        <f>D20/(D7-D9)</f>
        <v>0.7064016708341716</v>
      </c>
      <c r="J15" s="5" t="s">
        <v>38</v>
      </c>
      <c r="K15" s="1">
        <v>13074</v>
      </c>
      <c r="L15" s="6">
        <v>8647</v>
      </c>
    </row>
    <row r="16" spans="2:12" x14ac:dyDescent="0.3">
      <c r="B16" s="5" t="s">
        <v>10</v>
      </c>
      <c r="C16" s="1">
        <v>148533</v>
      </c>
      <c r="D16" s="6">
        <v>147689</v>
      </c>
      <c r="F16" s="5" t="s">
        <v>28</v>
      </c>
      <c r="G16" s="1">
        <f>C22/C7</f>
        <v>-0.42542316130588198</v>
      </c>
      <c r="H16" s="6">
        <f>D22/D7</f>
        <v>-0.26548721955575399</v>
      </c>
      <c r="J16" s="5" t="s">
        <v>39</v>
      </c>
      <c r="K16" s="1">
        <v>-1.41</v>
      </c>
      <c r="L16" s="6">
        <v>-1.1399999999999999</v>
      </c>
    </row>
    <row r="17" spans="2:12" x14ac:dyDescent="0.3">
      <c r="B17" s="5" t="s">
        <v>15</v>
      </c>
      <c r="C17" s="1">
        <v>0</v>
      </c>
      <c r="D17" s="6">
        <v>0</v>
      </c>
      <c r="F17" s="5" t="s">
        <v>33</v>
      </c>
      <c r="G17" s="1"/>
      <c r="H17" s="6"/>
      <c r="J17" s="5" t="s">
        <v>41</v>
      </c>
      <c r="K17" s="1">
        <f>(K16-L16)/K16</f>
        <v>0.19148936170212769</v>
      </c>
      <c r="L17" s="6"/>
    </row>
    <row r="18" spans="2:12" x14ac:dyDescent="0.3">
      <c r="B18" s="5" t="s">
        <v>16</v>
      </c>
      <c r="C18" s="1">
        <f>C16-C17</f>
        <v>148533</v>
      </c>
      <c r="D18" s="6">
        <f>D16-D17</f>
        <v>147689</v>
      </c>
      <c r="F18" s="5" t="s">
        <v>29</v>
      </c>
      <c r="G18" s="1">
        <f>C10/C11</f>
        <v>-1.9405581469099751</v>
      </c>
      <c r="H18" s="6">
        <f>D10/D11</f>
        <v>-3.0231284191816545</v>
      </c>
      <c r="J18" s="5" t="s">
        <v>40</v>
      </c>
      <c r="K18" s="1">
        <f>2/K16</f>
        <v>-1.4184397163120568</v>
      </c>
      <c r="L18" s="6"/>
    </row>
    <row r="19" spans="2:12" ht="15" thickBot="1" x14ac:dyDescent="0.35">
      <c r="B19" s="5" t="s">
        <v>11</v>
      </c>
      <c r="C19" s="1">
        <f>271570+58654</f>
        <v>330224</v>
      </c>
      <c r="D19" s="6">
        <f>228810+66346</f>
        <v>295156</v>
      </c>
      <c r="F19" s="5" t="s">
        <v>30</v>
      </c>
      <c r="G19" s="1">
        <f>C10/C7</f>
        <v>2.0631984883500398</v>
      </c>
      <c r="H19" s="6">
        <f>D10/D7</f>
        <v>1.494283996269745</v>
      </c>
      <c r="J19" s="7" t="s">
        <v>42</v>
      </c>
      <c r="K19" s="8">
        <f>K18/K17</f>
        <v>-7.4074074074074066</v>
      </c>
      <c r="L19" s="9"/>
    </row>
    <row r="20" spans="2:12" x14ac:dyDescent="0.3">
      <c r="B20" s="5" t="s">
        <v>12</v>
      </c>
      <c r="C20" s="1">
        <f>C18-C19</f>
        <v>-181691</v>
      </c>
      <c r="D20" s="6">
        <f>D18-D19</f>
        <v>-147467</v>
      </c>
      <c r="F20" s="5" t="s">
        <v>34</v>
      </c>
      <c r="G20" s="1"/>
      <c r="H20" s="6"/>
    </row>
    <row r="21" spans="2:12" x14ac:dyDescent="0.3">
      <c r="B21" s="5" t="s">
        <v>13</v>
      </c>
      <c r="C21" s="1">
        <v>0</v>
      </c>
      <c r="D21" s="6">
        <v>0</v>
      </c>
      <c r="F21" s="5" t="s">
        <v>35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14</v>
      </c>
      <c r="C22" s="1">
        <f>C20-C21</f>
        <v>-181691</v>
      </c>
      <c r="D22" s="6">
        <f>D20-D21</f>
        <v>-147467</v>
      </c>
      <c r="F22" s="7" t="s">
        <v>36</v>
      </c>
      <c r="G22" s="8">
        <f>2*C16/(C7+D7)</f>
        <v>0.30234463498215342</v>
      </c>
      <c r="H22" s="9"/>
    </row>
    <row r="23" spans="2:12" x14ac:dyDescent="0.3">
      <c r="B23" s="5" t="s">
        <v>17</v>
      </c>
      <c r="C23" s="1">
        <v>9</v>
      </c>
      <c r="D23" s="6">
        <v>-66</v>
      </c>
    </row>
    <row r="24" spans="2:12" ht="15" thickBot="1" x14ac:dyDescent="0.35">
      <c r="B24" s="7" t="s">
        <v>18</v>
      </c>
      <c r="C24" s="8">
        <f>C22+C23</f>
        <v>-181682</v>
      </c>
      <c r="D24" s="9">
        <f>D22+D23</f>
        <v>-147533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E993-1DB1-437E-BCD0-00610B595556}">
  <dimension ref="B1:L24"/>
  <sheetViews>
    <sheetView zoomScale="99" workbookViewId="0">
      <selection activeCell="H8" sqref="H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44</v>
      </c>
      <c r="F2" s="2" t="s">
        <v>19</v>
      </c>
      <c r="G2" s="3"/>
      <c r="H2" s="4" t="s">
        <v>44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43</v>
      </c>
      <c r="F4" s="5"/>
      <c r="G4" s="1" t="s">
        <v>1</v>
      </c>
      <c r="H4" s="6" t="s">
        <v>43</v>
      </c>
    </row>
    <row r="5" spans="2:12" x14ac:dyDescent="0.3">
      <c r="B5" s="5" t="s">
        <v>2</v>
      </c>
      <c r="C5" s="1">
        <v>146711.45000000001</v>
      </c>
      <c r="D5" s="6">
        <v>118749.45</v>
      </c>
      <c r="F5" s="5" t="s">
        <v>20</v>
      </c>
      <c r="G5" s="1">
        <v>50113.86</v>
      </c>
      <c r="H5" s="6">
        <v>35574.26</v>
      </c>
    </row>
    <row r="6" spans="2:12" x14ac:dyDescent="0.3">
      <c r="B6" s="5" t="s">
        <v>3</v>
      </c>
      <c r="C6" s="1">
        <v>341040.22</v>
      </c>
      <c r="D6" s="6">
        <v>215850.99</v>
      </c>
      <c r="F6" s="5" t="s">
        <v>21</v>
      </c>
      <c r="G6" s="1">
        <v>-43744.46</v>
      </c>
      <c r="H6" s="6">
        <v>-11332.83</v>
      </c>
    </row>
    <row r="7" spans="2:12" x14ac:dyDescent="0.3">
      <c r="B7" s="5" t="s">
        <v>4</v>
      </c>
      <c r="C7" s="1">
        <f>C5+C6</f>
        <v>487751.67</v>
      </c>
      <c r="D7" s="6">
        <f>D5+D6</f>
        <v>334600.44</v>
      </c>
      <c r="F7" s="5" t="s">
        <v>22</v>
      </c>
      <c r="G7" s="1">
        <v>3103.69</v>
      </c>
      <c r="H7" s="6">
        <v>-3361.22</v>
      </c>
    </row>
    <row r="8" spans="2:12" ht="15" thickBot="1" x14ac:dyDescent="0.35">
      <c r="B8" s="5" t="s">
        <v>5</v>
      </c>
      <c r="C8" s="1">
        <v>23702.66</v>
      </c>
      <c r="D8" s="6">
        <v>15622.25</v>
      </c>
      <c r="F8" s="7" t="s">
        <v>23</v>
      </c>
      <c r="G8" s="8">
        <f>G5+G6+G7</f>
        <v>9473.090000000002</v>
      </c>
      <c r="H8" s="9">
        <f>H5+H6+H7</f>
        <v>20880.21</v>
      </c>
    </row>
    <row r="9" spans="2:12" ht="15" thickBot="1" x14ac:dyDescent="0.35">
      <c r="B9" s="5" t="s">
        <v>6</v>
      </c>
      <c r="C9" s="1">
        <v>340295.83</v>
      </c>
      <c r="D9" s="6">
        <v>205858.56</v>
      </c>
      <c r="F9" s="10"/>
      <c r="G9" s="11"/>
      <c r="H9" s="12"/>
    </row>
    <row r="10" spans="2:12" x14ac:dyDescent="0.3">
      <c r="B10" s="5" t="s">
        <v>7</v>
      </c>
      <c r="C10" s="1">
        <f>C8+C9</f>
        <v>363998.49</v>
      </c>
      <c r="D10" s="6">
        <f>D8+D9</f>
        <v>221480.81</v>
      </c>
      <c r="F10" s="2" t="s">
        <v>31</v>
      </c>
      <c r="G10" s="3"/>
      <c r="H10" s="4"/>
    </row>
    <row r="11" spans="2:12" ht="15" thickBot="1" x14ac:dyDescent="0.35">
      <c r="B11" s="7" t="s">
        <v>8</v>
      </c>
      <c r="C11" s="8">
        <f>C7-C10</f>
        <v>123753.18</v>
      </c>
      <c r="D11" s="9">
        <f>D7-D10</f>
        <v>113119.63</v>
      </c>
      <c r="F11" s="5" t="s">
        <v>24</v>
      </c>
      <c r="G11" s="1">
        <f>C20/C16</f>
        <v>3.7704980145761985E-2</v>
      </c>
      <c r="H11" s="6">
        <f>D20/D16</f>
        <v>2.5177165587542259E-2</v>
      </c>
    </row>
    <row r="12" spans="2:12" ht="15" thickBot="1" x14ac:dyDescent="0.35">
      <c r="F12" s="5" t="s">
        <v>25</v>
      </c>
      <c r="G12" s="1">
        <f>C22/C16</f>
        <v>2.6432081312121491E-2</v>
      </c>
      <c r="H12" s="6">
        <f>D22/D16</f>
        <v>2.1120497644288531E-2</v>
      </c>
    </row>
    <row r="13" spans="2:12" x14ac:dyDescent="0.3">
      <c r="B13" s="2" t="s">
        <v>9</v>
      </c>
      <c r="C13" s="3"/>
      <c r="D13" s="4" t="s">
        <v>44</v>
      </c>
      <c r="F13" s="5" t="s">
        <v>32</v>
      </c>
      <c r="G13" s="1"/>
      <c r="H13" s="6"/>
      <c r="J13" s="2"/>
      <c r="K13" s="3" t="s">
        <v>1</v>
      </c>
      <c r="L13" s="4" t="s">
        <v>43</v>
      </c>
    </row>
    <row r="14" spans="2:12" x14ac:dyDescent="0.3">
      <c r="B14" s="5"/>
      <c r="C14" s="1"/>
      <c r="D14" s="6"/>
      <c r="F14" s="5" t="s">
        <v>26</v>
      </c>
      <c r="G14" s="1">
        <f>C22/C11</f>
        <v>0.10039838976259065</v>
      </c>
      <c r="H14" s="6">
        <f>D22/D11</f>
        <v>6.0833031366880848E-2</v>
      </c>
      <c r="J14" s="5" t="s">
        <v>37</v>
      </c>
      <c r="K14" s="1">
        <v>56819.74</v>
      </c>
      <c r="L14" s="6">
        <v>34921.79</v>
      </c>
    </row>
    <row r="15" spans="2:12" x14ac:dyDescent="0.3">
      <c r="B15" s="5"/>
      <c r="C15" s="1" t="s">
        <v>1</v>
      </c>
      <c r="D15" s="6" t="s">
        <v>43</v>
      </c>
      <c r="F15" s="5" t="s">
        <v>27</v>
      </c>
      <c r="G15" s="1">
        <f>C20/(C7-C9)</f>
        <v>0.12019557855423048</v>
      </c>
      <c r="H15" s="6">
        <f>D20/(D7-D9)</f>
        <v>6.3717727285013667E-2</v>
      </c>
      <c r="J15" s="5" t="s">
        <v>38</v>
      </c>
      <c r="K15" s="1">
        <v>104244.33</v>
      </c>
      <c r="L15" s="6">
        <v>59472.57</v>
      </c>
    </row>
    <row r="16" spans="2:12" x14ac:dyDescent="0.3">
      <c r="B16" s="5" t="s">
        <v>10</v>
      </c>
      <c r="C16" s="1">
        <v>470058.33</v>
      </c>
      <c r="D16" s="6">
        <v>325816.65999999997</v>
      </c>
      <c r="F16" s="5" t="s">
        <v>28</v>
      </c>
      <c r="G16" s="1">
        <f>C22/C7</f>
        <v>2.5473249532902753E-2</v>
      </c>
      <c r="H16" s="6">
        <f>D22/D7</f>
        <v>2.0566051855759531E-2</v>
      </c>
      <c r="J16" s="5" t="s">
        <v>39</v>
      </c>
      <c r="K16" s="1">
        <v>7.23</v>
      </c>
      <c r="L16" s="6">
        <v>4.01</v>
      </c>
    </row>
    <row r="17" spans="2:12" x14ac:dyDescent="0.3">
      <c r="B17" s="5" t="s">
        <v>15</v>
      </c>
      <c r="C17" s="1">
        <v>166343.04999999999</v>
      </c>
      <c r="D17" s="6">
        <v>109023.42</v>
      </c>
      <c r="F17" s="5" t="s">
        <v>33</v>
      </c>
      <c r="G17" s="1"/>
      <c r="H17" s="6"/>
      <c r="J17" s="5" t="s">
        <v>41</v>
      </c>
      <c r="K17" s="1">
        <f>(K16-L16)/K16</f>
        <v>0.4453665283540803</v>
      </c>
      <c r="L17" s="6"/>
    </row>
    <row r="18" spans="2:12" x14ac:dyDescent="0.3">
      <c r="B18" s="5" t="s">
        <v>16</v>
      </c>
      <c r="C18" s="1">
        <f>C16-C17</f>
        <v>303715.28000000003</v>
      </c>
      <c r="D18" s="6">
        <f>D16-D17</f>
        <v>216793.24</v>
      </c>
      <c r="F18" s="5" t="s">
        <v>29</v>
      </c>
      <c r="G18" s="1">
        <f>C10/C11</f>
        <v>2.9413263562196947</v>
      </c>
      <c r="H18" s="6">
        <f>D10/D11</f>
        <v>1.9579343567513436</v>
      </c>
      <c r="J18" s="5" t="s">
        <v>40</v>
      </c>
      <c r="K18" s="1">
        <f>514/K16</f>
        <v>71.092669432918385</v>
      </c>
      <c r="L18" s="6"/>
    </row>
    <row r="19" spans="2:12" ht="15" thickBot="1" x14ac:dyDescent="0.35">
      <c r="B19" s="5" t="s">
        <v>11</v>
      </c>
      <c r="C19" s="1">
        <f>452334.79-C17</f>
        <v>285991.74</v>
      </c>
      <c r="D19" s="6">
        <f>317613.52-D17</f>
        <v>208590.10000000003</v>
      </c>
      <c r="F19" s="5" t="s">
        <v>30</v>
      </c>
      <c r="G19" s="1">
        <f>C10/C7</f>
        <v>0.74627830592563626</v>
      </c>
      <c r="H19" s="6">
        <f>D10/D7</f>
        <v>0.66192623655844562</v>
      </c>
      <c r="J19" s="7" t="s">
        <v>42</v>
      </c>
      <c r="K19" s="8">
        <f>K18/K17</f>
        <v>159.62732919254654</v>
      </c>
      <c r="L19" s="9"/>
    </row>
    <row r="20" spans="2:12" x14ac:dyDescent="0.3">
      <c r="B20" s="5" t="s">
        <v>12</v>
      </c>
      <c r="C20" s="1">
        <f>C18-C19</f>
        <v>17723.540000000037</v>
      </c>
      <c r="D20" s="6">
        <f>D18-D19</f>
        <v>8203.1399999999558</v>
      </c>
      <c r="F20" s="5" t="s">
        <v>34</v>
      </c>
      <c r="G20" s="1"/>
      <c r="H20" s="6"/>
    </row>
    <row r="21" spans="2:12" x14ac:dyDescent="0.3">
      <c r="B21" s="5" t="s">
        <v>13</v>
      </c>
      <c r="C21" s="1">
        <v>5298.92</v>
      </c>
      <c r="D21" s="6">
        <v>1321.73</v>
      </c>
      <c r="F21" s="5" t="s">
        <v>35</v>
      </c>
      <c r="G21" s="1">
        <f>C17/K14</f>
        <v>2.9275573946660085</v>
      </c>
      <c r="H21" s="6">
        <f>D17/L14</f>
        <v>3.1219310350357183</v>
      </c>
    </row>
    <row r="22" spans="2:12" ht="15" thickBot="1" x14ac:dyDescent="0.35">
      <c r="B22" s="5" t="s">
        <v>14</v>
      </c>
      <c r="C22" s="1">
        <f>C20-C21</f>
        <v>12424.620000000037</v>
      </c>
      <c r="D22" s="6">
        <f>D20-D21</f>
        <v>6881.4099999999562</v>
      </c>
      <c r="F22" s="7" t="s">
        <v>36</v>
      </c>
      <c r="G22" s="8">
        <f>2*C16/(C7+D7)</f>
        <v>1.1432045331530798</v>
      </c>
      <c r="H22" s="9"/>
    </row>
    <row r="23" spans="2:12" x14ac:dyDescent="0.3">
      <c r="B23" s="5" t="s">
        <v>17</v>
      </c>
      <c r="C23" s="1">
        <v>-1018.03</v>
      </c>
      <c r="D23" s="6">
        <v>-126.56</v>
      </c>
    </row>
    <row r="24" spans="2:12" ht="15" thickBot="1" x14ac:dyDescent="0.35">
      <c r="B24" s="7" t="s">
        <v>18</v>
      </c>
      <c r="C24" s="8">
        <f>C22+C23</f>
        <v>11406.590000000037</v>
      </c>
      <c r="D24" s="9">
        <f>D22+D23</f>
        <v>6754.8499999999558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52FC-D4E4-4374-8E2F-C3560F3A0AC9}">
  <dimension ref="B1:L24"/>
  <sheetViews>
    <sheetView tabSelected="1" topLeftCell="D1" zoomScale="99" workbookViewId="0">
      <selection activeCell="I7" sqref="I7"/>
    </sheetView>
  </sheetViews>
  <sheetFormatPr defaultRowHeight="14.4" x14ac:dyDescent="0.3"/>
  <cols>
    <col min="2" max="2" width="20.777343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47</v>
      </c>
      <c r="F2" s="2" t="s">
        <v>19</v>
      </c>
      <c r="G2" s="3"/>
      <c r="H2" s="4" t="s">
        <v>47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43</v>
      </c>
      <c r="F4" s="5"/>
      <c r="G4" s="1" t="s">
        <v>1</v>
      </c>
      <c r="H4" s="6" t="s">
        <v>43</v>
      </c>
    </row>
    <row r="5" spans="2:12" x14ac:dyDescent="0.3">
      <c r="B5" s="5" t="s">
        <v>48</v>
      </c>
      <c r="C5" s="1">
        <v>4285.67</v>
      </c>
      <c r="D5" s="6">
        <v>3994.43</v>
      </c>
      <c r="F5" s="5" t="s">
        <v>20</v>
      </c>
      <c r="G5" s="1">
        <v>-37481.660000000003</v>
      </c>
      <c r="H5" s="6">
        <v>-871.5</v>
      </c>
    </row>
    <row r="6" spans="2:12" x14ac:dyDescent="0.3">
      <c r="B6" s="5" t="s">
        <v>49</v>
      </c>
      <c r="C6" s="1">
        <v>460591.12</v>
      </c>
      <c r="D6" s="6">
        <v>406417.32</v>
      </c>
      <c r="F6" s="5" t="s">
        <v>21</v>
      </c>
      <c r="G6" s="1">
        <v>-803.87</v>
      </c>
      <c r="H6" s="6">
        <v>-210.32</v>
      </c>
    </row>
    <row r="7" spans="2:12" x14ac:dyDescent="0.3">
      <c r="B7" s="5" t="s">
        <v>4</v>
      </c>
      <c r="C7" s="1">
        <v>464877.13</v>
      </c>
      <c r="D7" s="6">
        <v>410412.61</v>
      </c>
      <c r="F7" s="5" t="s">
        <v>22</v>
      </c>
      <c r="G7" s="1">
        <v>38110.54</v>
      </c>
      <c r="H7" s="6">
        <v>67.73</v>
      </c>
    </row>
    <row r="8" spans="2:12" ht="15" thickBot="1" x14ac:dyDescent="0.35">
      <c r="B8" s="5" t="s">
        <v>51</v>
      </c>
      <c r="C8" s="1">
        <v>209.51</v>
      </c>
      <c r="D8" s="6">
        <v>196.4</v>
      </c>
      <c r="F8" s="7" t="s">
        <v>23</v>
      </c>
      <c r="G8" s="8">
        <f>G5+G6+G7</f>
        <v>-174.99000000000524</v>
      </c>
      <c r="H8" s="9">
        <f>H5+H6+H7</f>
        <v>-1014.0899999999999</v>
      </c>
    </row>
    <row r="9" spans="2:12" ht="15" thickBot="1" x14ac:dyDescent="0.35">
      <c r="B9" s="5" t="s">
        <v>50</v>
      </c>
      <c r="C9" s="1">
        <v>406987.95</v>
      </c>
      <c r="D9" s="6">
        <v>359230.61</v>
      </c>
      <c r="F9" s="10"/>
      <c r="G9" s="11"/>
      <c r="H9" s="12"/>
    </row>
    <row r="10" spans="2:12" x14ac:dyDescent="0.3">
      <c r="B10" s="5" t="s">
        <v>7</v>
      </c>
      <c r="C10" s="1">
        <f>C8+C9</f>
        <v>407197.46</v>
      </c>
      <c r="D10" s="6">
        <f>D8+D9</f>
        <v>359427.01</v>
      </c>
      <c r="F10" s="2" t="s">
        <v>31</v>
      </c>
      <c r="G10" s="3"/>
      <c r="H10" s="4"/>
    </row>
    <row r="11" spans="2:12" ht="15" thickBot="1" x14ac:dyDescent="0.35">
      <c r="B11" s="7" t="s">
        <v>8</v>
      </c>
      <c r="C11" s="8">
        <f>C7-C10</f>
        <v>57679.669999999984</v>
      </c>
      <c r="D11" s="9">
        <f>D7-D10</f>
        <v>50985.599999999977</v>
      </c>
      <c r="F11" s="5" t="s">
        <v>24</v>
      </c>
      <c r="G11" s="1">
        <f>C20/C16</f>
        <v>0.35000801218157318</v>
      </c>
      <c r="H11" s="6">
        <f>D20/D16</f>
        <v>0.3167157144514019</v>
      </c>
    </row>
    <row r="12" spans="2:12" ht="15" thickBot="1" x14ac:dyDescent="0.35">
      <c r="F12" s="5" t="s">
        <v>25</v>
      </c>
      <c r="G12" s="1">
        <f>C22/C16</f>
        <v>0.2816272906368551</v>
      </c>
      <c r="H12" s="6">
        <f>D22/D16</f>
        <v>0.25607455433215776</v>
      </c>
    </row>
    <row r="13" spans="2:12" x14ac:dyDescent="0.3">
      <c r="B13" s="2" t="s">
        <v>9</v>
      </c>
      <c r="C13" s="3"/>
      <c r="D13" s="4" t="s">
        <v>47</v>
      </c>
      <c r="F13" s="5" t="s">
        <v>32</v>
      </c>
      <c r="G13" s="1"/>
      <c r="H13" s="6"/>
      <c r="J13" s="2"/>
      <c r="K13" s="3" t="s">
        <v>1</v>
      </c>
      <c r="L13" s="4" t="s">
        <v>43</v>
      </c>
    </row>
    <row r="14" spans="2:12" x14ac:dyDescent="0.3">
      <c r="B14" s="5"/>
      <c r="C14" s="1"/>
      <c r="D14" s="6"/>
      <c r="F14" s="5" t="s">
        <v>26</v>
      </c>
      <c r="G14" s="1">
        <f>C22/C11</f>
        <v>0.19165574282931935</v>
      </c>
      <c r="H14" s="6">
        <f>D22/D11</f>
        <v>0.19703445678779896</v>
      </c>
      <c r="J14" s="5" t="s">
        <v>37</v>
      </c>
      <c r="K14" s="1">
        <v>0</v>
      </c>
      <c r="L14" s="6">
        <v>0</v>
      </c>
    </row>
    <row r="15" spans="2:12" x14ac:dyDescent="0.3">
      <c r="B15" s="5"/>
      <c r="C15" s="1" t="s">
        <v>1</v>
      </c>
      <c r="D15" s="6" t="s">
        <v>43</v>
      </c>
      <c r="F15" s="5" t="s">
        <v>27</v>
      </c>
      <c r="G15" s="1">
        <f>C20/(C7-C9)</f>
        <v>0.23732880652308438</v>
      </c>
      <c r="H15" s="6">
        <f>D20/(D7-D9)</f>
        <v>0.24275917314680939</v>
      </c>
      <c r="J15" s="5" t="s">
        <v>38</v>
      </c>
      <c r="K15" s="1">
        <v>0</v>
      </c>
      <c r="L15" s="6">
        <v>0</v>
      </c>
    </row>
    <row r="16" spans="2:12" x14ac:dyDescent="0.3">
      <c r="B16" s="5" t="s">
        <v>10</v>
      </c>
      <c r="C16" s="1">
        <v>39252.730000000003</v>
      </c>
      <c r="D16" s="6">
        <v>39230.449999999997</v>
      </c>
      <c r="F16" s="5" t="s">
        <v>28</v>
      </c>
      <c r="G16" s="1">
        <f>C22/C7</f>
        <v>2.3779702821689685E-2</v>
      </c>
      <c r="H16" s="6">
        <f>D22/D7</f>
        <v>2.4477610471081771E-2</v>
      </c>
      <c r="J16" s="5" t="s">
        <v>39</v>
      </c>
      <c r="K16" s="1">
        <v>41.85</v>
      </c>
      <c r="L16" s="6">
        <v>38.020000000000003</v>
      </c>
    </row>
    <row r="17" spans="2:12" x14ac:dyDescent="0.3">
      <c r="B17" s="5" t="s">
        <v>15</v>
      </c>
      <c r="C17" s="1">
        <v>0</v>
      </c>
      <c r="D17" s="6">
        <v>0</v>
      </c>
      <c r="F17" s="5" t="s">
        <v>33</v>
      </c>
      <c r="G17" s="1"/>
      <c r="H17" s="6"/>
      <c r="J17" s="5" t="s">
        <v>41</v>
      </c>
      <c r="K17" s="1">
        <f>(K16-L16)/K16</f>
        <v>9.1517323775388251E-2</v>
      </c>
      <c r="L17" s="6"/>
    </row>
    <row r="18" spans="2:12" x14ac:dyDescent="0.3">
      <c r="B18" s="5" t="s">
        <v>16</v>
      </c>
      <c r="C18" s="1">
        <f>C16-C17</f>
        <v>39252.730000000003</v>
      </c>
      <c r="D18" s="6">
        <f>D16-D17</f>
        <v>39230.449999999997</v>
      </c>
      <c r="F18" s="5" t="s">
        <v>29</v>
      </c>
      <c r="G18" s="1">
        <f>C10/C11</f>
        <v>7.0596357434083821</v>
      </c>
      <c r="H18" s="6">
        <f>D10/D11</f>
        <v>7.0495789007092231</v>
      </c>
      <c r="J18" s="5" t="s">
        <v>40</v>
      </c>
      <c r="K18" s="1">
        <f>600/K16</f>
        <v>14.336917562724015</v>
      </c>
      <c r="L18" s="6"/>
    </row>
    <row r="19" spans="2:12" ht="15" thickBot="1" x14ac:dyDescent="0.35">
      <c r="B19" s="5" t="s">
        <v>11</v>
      </c>
      <c r="C19" s="1">
        <v>25513.96</v>
      </c>
      <c r="D19" s="6">
        <v>26805.55</v>
      </c>
      <c r="F19" s="5" t="s">
        <v>30</v>
      </c>
      <c r="G19" s="1">
        <f>C10/C7</f>
        <v>0.87592491375086579</v>
      </c>
      <c r="H19" s="6">
        <f>D10/D7</f>
        <v>0.87576989898044322</v>
      </c>
      <c r="J19" s="7" t="s">
        <v>42</v>
      </c>
      <c r="K19" s="8">
        <f>K18/K17</f>
        <v>156.65796344647526</v>
      </c>
      <c r="L19" s="9"/>
    </row>
    <row r="20" spans="2:12" x14ac:dyDescent="0.3">
      <c r="B20" s="5" t="s">
        <v>12</v>
      </c>
      <c r="C20" s="1">
        <f>C18-C19</f>
        <v>13738.770000000004</v>
      </c>
      <c r="D20" s="6">
        <f>D18-D19</f>
        <v>12424.899999999998</v>
      </c>
      <c r="F20" s="5" t="s">
        <v>34</v>
      </c>
      <c r="G20" s="1"/>
      <c r="H20" s="6"/>
    </row>
    <row r="21" spans="2:12" x14ac:dyDescent="0.3">
      <c r="B21" s="5" t="s">
        <v>13</v>
      </c>
      <c r="C21" s="1">
        <v>2684.13</v>
      </c>
      <c r="D21" s="6">
        <v>2378.98</v>
      </c>
      <c r="F21" s="5" t="s">
        <v>35</v>
      </c>
      <c r="G21" s="1" t="e">
        <f>C17/K14</f>
        <v>#DIV/0!</v>
      </c>
      <c r="H21" s="6" t="e">
        <f>D17/L14</f>
        <v>#DIV/0!</v>
      </c>
    </row>
    <row r="22" spans="2:12" ht="15" thickBot="1" x14ac:dyDescent="0.35">
      <c r="B22" s="5" t="s">
        <v>14</v>
      </c>
      <c r="C22" s="1">
        <f>C20-C21</f>
        <v>11054.640000000003</v>
      </c>
      <c r="D22" s="6">
        <f>D20-D21</f>
        <v>10045.919999999998</v>
      </c>
      <c r="F22" s="7" t="s">
        <v>36</v>
      </c>
      <c r="G22" s="8">
        <f>2*C16/(C7+D7)</f>
        <v>8.9690826262855558E-2</v>
      </c>
      <c r="H22" s="9"/>
    </row>
    <row r="23" spans="2:12" x14ac:dyDescent="0.3">
      <c r="B23" s="5" t="s">
        <v>17</v>
      </c>
      <c r="C23" s="1">
        <v>-971.04</v>
      </c>
      <c r="D23" s="6">
        <v>-59.07</v>
      </c>
    </row>
    <row r="24" spans="2:12" ht="15" thickBot="1" x14ac:dyDescent="0.35">
      <c r="B24" s="7" t="s">
        <v>18</v>
      </c>
      <c r="C24" s="8">
        <f>C22+C23</f>
        <v>10083.600000000002</v>
      </c>
      <c r="D24" s="9">
        <f>D22+D23</f>
        <v>9986.8499999999985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F36E-8ED4-46A3-B2CE-AD8E1137D5EA}">
  <dimension ref="B1:L24"/>
  <sheetViews>
    <sheetView zoomScale="99" workbookViewId="0">
      <selection activeCell="G8" sqref="G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47</v>
      </c>
      <c r="F2" s="2" t="s">
        <v>19</v>
      </c>
      <c r="G2" s="3"/>
      <c r="H2" s="4" t="s">
        <v>47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43</v>
      </c>
      <c r="F4" s="5"/>
      <c r="G4" s="1" t="s">
        <v>1</v>
      </c>
      <c r="H4" s="6" t="s">
        <v>43</v>
      </c>
    </row>
    <row r="5" spans="2:12" x14ac:dyDescent="0.3">
      <c r="B5" s="5" t="s">
        <v>2</v>
      </c>
      <c r="C5" s="1">
        <v>1522.27</v>
      </c>
      <c r="D5" s="6">
        <v>862.81700000000001</v>
      </c>
      <c r="F5" s="5" t="s">
        <v>20</v>
      </c>
      <c r="G5" s="1">
        <v>587.09100000000001</v>
      </c>
      <c r="H5" s="6">
        <v>114.003</v>
      </c>
    </row>
    <row r="6" spans="2:12" x14ac:dyDescent="0.3">
      <c r="B6" s="5" t="s">
        <v>3</v>
      </c>
      <c r="C6" s="1">
        <v>1987.0070000000001</v>
      </c>
      <c r="D6" s="6">
        <v>1517.4079999999999</v>
      </c>
      <c r="F6" s="5" t="s">
        <v>21</v>
      </c>
      <c r="G6" s="1">
        <v>-682.66800000000001</v>
      </c>
      <c r="H6" s="6">
        <v>-172.89599999999999</v>
      </c>
    </row>
    <row r="7" spans="2:12" x14ac:dyDescent="0.3">
      <c r="B7" s="5" t="s">
        <v>4</v>
      </c>
      <c r="C7" s="1">
        <f>C5+C6</f>
        <v>3509.277</v>
      </c>
      <c r="D7" s="6">
        <f>D5+D6</f>
        <v>2380.2249999999999</v>
      </c>
      <c r="F7" s="5" t="s">
        <v>22</v>
      </c>
      <c r="G7" s="1">
        <v>117.444</v>
      </c>
      <c r="H7" s="6">
        <v>-33.817</v>
      </c>
    </row>
    <row r="8" spans="2:12" ht="15" thickBot="1" x14ac:dyDescent="0.35">
      <c r="B8" s="5" t="s">
        <v>5</v>
      </c>
      <c r="C8" s="1">
        <v>271.60399999999998</v>
      </c>
      <c r="D8" s="6">
        <v>169.25200000000001</v>
      </c>
      <c r="F8" s="7" t="s">
        <v>23</v>
      </c>
      <c r="G8" s="8">
        <f>G5+G6+G7</f>
        <v>21.867000000000004</v>
      </c>
      <c r="H8" s="9">
        <f>H5+H6+H7</f>
        <v>-92.70999999999998</v>
      </c>
    </row>
    <row r="9" spans="2:12" ht="15" thickBot="1" x14ac:dyDescent="0.35">
      <c r="B9" s="5" t="s">
        <v>6</v>
      </c>
      <c r="C9" s="1">
        <v>1459.2380000000001</v>
      </c>
      <c r="D9" s="6">
        <v>846.63</v>
      </c>
      <c r="F9" s="10"/>
      <c r="G9" s="11"/>
      <c r="H9" s="12"/>
    </row>
    <row r="10" spans="2:12" x14ac:dyDescent="0.3">
      <c r="B10" s="5" t="s">
        <v>7</v>
      </c>
      <c r="C10" s="1">
        <f>C8+C9</f>
        <v>1730.8420000000001</v>
      </c>
      <c r="D10" s="6">
        <f>D8+D9</f>
        <v>1015.8820000000001</v>
      </c>
      <c r="F10" s="2" t="s">
        <v>31</v>
      </c>
      <c r="G10" s="3"/>
      <c r="H10" s="4"/>
    </row>
    <row r="11" spans="2:12" ht="15" thickBot="1" x14ac:dyDescent="0.35">
      <c r="B11" s="7" t="s">
        <v>8</v>
      </c>
      <c r="C11" s="8">
        <f>C7-C10</f>
        <v>1778.4349999999999</v>
      </c>
      <c r="D11" s="9">
        <f>D7-D10</f>
        <v>1364.3429999999998</v>
      </c>
      <c r="F11" s="5" t="s">
        <v>24</v>
      </c>
      <c r="G11" s="1">
        <f>C20/C16</f>
        <v>0.12819203199571561</v>
      </c>
      <c r="H11" s="6">
        <f>D20/D16</f>
        <v>0.12548602663924199</v>
      </c>
    </row>
    <row r="12" spans="2:12" ht="15" thickBot="1" x14ac:dyDescent="0.35">
      <c r="F12" s="5" t="s">
        <v>25</v>
      </c>
      <c r="G12" s="1">
        <f>C22/C16</f>
        <v>9.4978941052528104E-2</v>
      </c>
      <c r="H12" s="6">
        <f>D22/D16</f>
        <v>9.3502596328292609E-2</v>
      </c>
    </row>
    <row r="13" spans="2:12" x14ac:dyDescent="0.3">
      <c r="B13" s="2" t="s">
        <v>9</v>
      </c>
      <c r="C13" s="3"/>
      <c r="D13" s="4" t="s">
        <v>47</v>
      </c>
      <c r="F13" s="5" t="s">
        <v>32</v>
      </c>
      <c r="G13" s="1"/>
      <c r="H13" s="6"/>
      <c r="J13" s="2"/>
      <c r="K13" s="3" t="s">
        <v>1</v>
      </c>
      <c r="L13" s="4" t="s">
        <v>43</v>
      </c>
    </row>
    <row r="14" spans="2:12" x14ac:dyDescent="0.3">
      <c r="B14" s="5"/>
      <c r="C14" s="1"/>
      <c r="D14" s="6"/>
      <c r="F14" s="5" t="s">
        <v>26</v>
      </c>
      <c r="G14" s="1">
        <f>C22/C11</f>
        <v>0.23694034361671912</v>
      </c>
      <c r="H14" s="6">
        <f>D22/D11</f>
        <v>0.2482953333582541</v>
      </c>
      <c r="J14" s="5" t="s">
        <v>37</v>
      </c>
      <c r="K14" s="1">
        <v>235.33099999999999</v>
      </c>
      <c r="L14" s="6">
        <v>183.55199999999999</v>
      </c>
    </row>
    <row r="15" spans="2:12" x14ac:dyDescent="0.3">
      <c r="B15" s="5"/>
      <c r="C15" s="1" t="s">
        <v>1</v>
      </c>
      <c r="D15" s="6" t="s">
        <v>43</v>
      </c>
      <c r="F15" s="5" t="s">
        <v>27</v>
      </c>
      <c r="G15" s="1">
        <f>C20/(C7-C9)</f>
        <v>0.27742691724401336</v>
      </c>
      <c r="H15" s="6">
        <f>D20/(D7-D9)</f>
        <v>0.29645114909738263</v>
      </c>
      <c r="J15" s="5" t="s">
        <v>38</v>
      </c>
      <c r="K15" s="1">
        <f>7.902+871.24</f>
        <v>879.14200000000005</v>
      </c>
      <c r="L15" s="6">
        <f>4.123+695.346</f>
        <v>699.46900000000005</v>
      </c>
    </row>
    <row r="16" spans="2:12" x14ac:dyDescent="0.3">
      <c r="B16" s="5" t="s">
        <v>10</v>
      </c>
      <c r="C16" s="1">
        <v>4436.5940000000001</v>
      </c>
      <c r="D16" s="6">
        <v>3623.0010000000002</v>
      </c>
      <c r="F16" s="5" t="s">
        <v>28</v>
      </c>
      <c r="G16" s="1">
        <f>C22/C7</f>
        <v>0.12007687053487082</v>
      </c>
      <c r="H16" s="6">
        <f>D22/D7</f>
        <v>0.14232267957861147</v>
      </c>
      <c r="J16" s="5" t="s">
        <v>39</v>
      </c>
      <c r="K16" s="1">
        <v>64.66</v>
      </c>
      <c r="L16" s="6">
        <v>51.98</v>
      </c>
    </row>
    <row r="17" spans="2:12" x14ac:dyDescent="0.3">
      <c r="B17" s="5" t="s">
        <v>15</v>
      </c>
      <c r="C17" s="1">
        <v>2143.5030000000002</v>
      </c>
      <c r="D17" s="6">
        <v>1791.9069999999999</v>
      </c>
      <c r="F17" s="5" t="s">
        <v>33</v>
      </c>
      <c r="G17" s="1"/>
      <c r="H17" s="6"/>
      <c r="J17" s="5" t="s">
        <v>41</v>
      </c>
      <c r="K17" s="1">
        <f>(K16-L16)/K16</f>
        <v>0.19610269099907207</v>
      </c>
      <c r="L17" s="6"/>
    </row>
    <row r="18" spans="2:12" x14ac:dyDescent="0.3">
      <c r="B18" s="5" t="s">
        <v>16</v>
      </c>
      <c r="C18" s="1">
        <f>C16-C17</f>
        <v>2293.0909999999999</v>
      </c>
      <c r="D18" s="6">
        <f>D16-D17</f>
        <v>1831.0940000000003</v>
      </c>
      <c r="F18" s="5" t="s">
        <v>29</v>
      </c>
      <c r="G18" s="1">
        <f>C10/C11</f>
        <v>0.97323883076974993</v>
      </c>
      <c r="H18" s="6">
        <f>D10/D11</f>
        <v>0.74459428457506671</v>
      </c>
      <c r="J18" s="5" t="s">
        <v>40</v>
      </c>
      <c r="K18" s="1">
        <f>1700/K16</f>
        <v>26.29137024435509</v>
      </c>
      <c r="L18" s="6"/>
    </row>
    <row r="19" spans="2:12" ht="15" thickBot="1" x14ac:dyDescent="0.35">
      <c r="B19" s="5" t="s">
        <v>11</v>
      </c>
      <c r="C19" s="1">
        <f>3867.858-C17</f>
        <v>1724.355</v>
      </c>
      <c r="D19" s="6">
        <f>3168.365-D17</f>
        <v>1376.4579999999999</v>
      </c>
      <c r="F19" s="5" t="s">
        <v>30</v>
      </c>
      <c r="G19" s="1">
        <f>C10/C7</f>
        <v>0.4932189735948459</v>
      </c>
      <c r="H19" s="6">
        <f>D10/D7</f>
        <v>0.42680082765284799</v>
      </c>
      <c r="J19" s="7" t="s">
        <v>42</v>
      </c>
      <c r="K19" s="8">
        <f>K18/K17</f>
        <v>134.06940063091483</v>
      </c>
      <c r="L19" s="9"/>
    </row>
    <row r="20" spans="2:12" x14ac:dyDescent="0.3">
      <c r="B20" s="5" t="s">
        <v>12</v>
      </c>
      <c r="C20" s="1">
        <f>C18-C19</f>
        <v>568.73599999999988</v>
      </c>
      <c r="D20" s="6">
        <f>D18-D19</f>
        <v>454.63600000000042</v>
      </c>
      <c r="F20" s="5" t="s">
        <v>34</v>
      </c>
      <c r="G20" s="1"/>
      <c r="H20" s="6"/>
    </row>
    <row r="21" spans="2:12" x14ac:dyDescent="0.3">
      <c r="B21" s="5" t="s">
        <v>13</v>
      </c>
      <c r="C21" s="1">
        <v>147.35300000000001</v>
      </c>
      <c r="D21" s="6">
        <v>115.876</v>
      </c>
      <c r="F21" s="5" t="s">
        <v>35</v>
      </c>
      <c r="G21" s="1">
        <f>C17/K14</f>
        <v>9.1084599988951744</v>
      </c>
      <c r="H21" s="6">
        <f>D17/L14</f>
        <v>9.7623943078800561</v>
      </c>
    </row>
    <row r="22" spans="2:12" ht="15" thickBot="1" x14ac:dyDescent="0.35">
      <c r="B22" s="5" t="s">
        <v>14</v>
      </c>
      <c r="C22" s="1">
        <f>C20-C21</f>
        <v>421.38299999999987</v>
      </c>
      <c r="D22" s="6">
        <f>D20-D21</f>
        <v>338.76000000000045</v>
      </c>
      <c r="F22" s="7" t="s">
        <v>36</v>
      </c>
      <c r="G22" s="8">
        <f>2*C16/(C7+D7)</f>
        <v>1.5066109154899683</v>
      </c>
      <c r="H22" s="9"/>
    </row>
    <row r="23" spans="2:12" x14ac:dyDescent="0.3">
      <c r="B23" s="5" t="s">
        <v>17</v>
      </c>
      <c r="C23" s="1">
        <v>-0.77400000000000002</v>
      </c>
      <c r="D23" s="6">
        <v>-1.4139999999999999</v>
      </c>
    </row>
    <row r="24" spans="2:12" ht="15" thickBot="1" x14ac:dyDescent="0.35">
      <c r="B24" s="7" t="s">
        <v>18</v>
      </c>
      <c r="C24" s="8">
        <f>C22+C23</f>
        <v>420.60899999999987</v>
      </c>
      <c r="D24" s="9">
        <f>D22+D23</f>
        <v>337.34600000000046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KPI</vt:lpstr>
      <vt:lpstr>KNR</vt:lpstr>
      <vt:lpstr>PNC</vt:lpstr>
      <vt:lpstr>ISGEC</vt:lpstr>
      <vt:lpstr>ASHOKA</vt:lpstr>
      <vt:lpstr>GTL</vt:lpstr>
      <vt:lpstr>ITD</vt:lpstr>
      <vt:lpstr>REC</vt:lpstr>
      <vt:lpstr>HG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Revanth Gudipati</dc:creator>
  <cp:lastModifiedBy>Sai Revanth Gudipati</cp:lastModifiedBy>
  <dcterms:created xsi:type="dcterms:W3CDTF">2015-06-05T18:17:20Z</dcterms:created>
  <dcterms:modified xsi:type="dcterms:W3CDTF">2024-07-19T12:43:40Z</dcterms:modified>
</cp:coreProperties>
</file>