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48" windowWidth="29700" windowHeight="14040" activeTab="5"/>
  </bookViews>
  <sheets>
    <sheet name="POCMA" sheetId="2" r:id="rId1"/>
    <sheet name="CKFCMA" sheetId="5" r:id="rId2"/>
    <sheet name="POCMA TS" sheetId="4" r:id="rId3"/>
    <sheet name="PFEF SRC" sheetId="3" r:id="rId4"/>
    <sheet name="PFEF T" sheetId="11" r:id="rId5"/>
    <sheet name="PFEF C" sheetId="13" r:id="rId6"/>
  </sheets>
  <definedNames>
    <definedName name="ADAM_ALL" localSheetId="5">'PFEF C'!#REF!</definedName>
    <definedName name="ADAM_ALL" localSheetId="4">'PFEF T'!$U$17</definedName>
    <definedName name="ADAM_ALL">'PFEF SRC'!$AJ$17</definedName>
    <definedName name="ALLALL_CK">CKFCMA!$N$6</definedName>
    <definedName name="ALLALL_PERC" localSheetId="1">CKFCMA!#REF!</definedName>
    <definedName name="ALLALL_PERC">POCMA!$Z$7</definedName>
    <definedName name="KENTON_ALL" localSheetId="5">'PFEF C'!#REF!</definedName>
    <definedName name="KENTON_ALL" localSheetId="4">'PFEF T'!$U$37</definedName>
    <definedName name="KENTON_ALL">'PFEF SRC'!$AJ$37</definedName>
    <definedName name="PERSONA_MODEL_LIST" localSheetId="5">'PFEF C'!#REF!</definedName>
    <definedName name="PERSONA_MODEL_LIST" localSheetId="4">'PFEF T'!$A$4:$B$55</definedName>
    <definedName name="PERSONA_MODEL_LIST">'PFEF SRC'!$A$4:$B$55</definedName>
    <definedName name="pfef_vanilla_mode1_01" localSheetId="5">'PFEF C'!#REF!</definedName>
    <definedName name="pfef_vanilla_mode1_01" localSheetId="4">'PFEF T'!$C$4:$D$44</definedName>
    <definedName name="pfef_vanilla_mode1_01">'PFEF SRC'!$C$4:$F$44</definedName>
    <definedName name="_xlnm.Print_Area" localSheetId="1">CKFCMA!$A$1:$Q$31</definedName>
    <definedName name="_xlnm.Print_Area" localSheetId="4">'PFEF T'!$A$1:$W$60</definedName>
    <definedName name="_xlnm.Print_Area" localSheetId="0">POCMA!$A$1:$AC$34</definedName>
    <definedName name="SUSAN_ALL" localSheetId="5">'PFEF C'!#REF!</definedName>
    <definedName name="SUSAN_ALL" localSheetId="4">'PFEF T'!$U$7</definedName>
    <definedName name="SUSAN_ALL">'PFEF SRC'!$AJ$7</definedName>
  </definedNames>
  <calcPr calcId="125725"/>
</workbook>
</file>

<file path=xl/calcChain.xml><?xml version="1.0" encoding="utf-8"?>
<calcChain xmlns="http://schemas.openxmlformats.org/spreadsheetml/2006/main">
  <c r="B49" i="11"/>
  <c r="A29"/>
  <c r="B29"/>
  <c r="C29"/>
  <c r="D29"/>
  <c r="F29"/>
  <c r="G29"/>
  <c r="I29"/>
  <c r="J29"/>
  <c r="L29"/>
  <c r="M29"/>
  <c r="O29"/>
  <c r="P29"/>
  <c r="R29"/>
  <c r="S29"/>
  <c r="U29"/>
  <c r="V29"/>
  <c r="W29"/>
  <c r="A46"/>
  <c r="B46"/>
  <c r="C46"/>
  <c r="D46"/>
  <c r="F46"/>
  <c r="G46"/>
  <c r="I46"/>
  <c r="J46"/>
  <c r="L46"/>
  <c r="M46"/>
  <c r="O46"/>
  <c r="P46"/>
  <c r="R46"/>
  <c r="S46"/>
  <c r="U46"/>
  <c r="V46"/>
  <c r="W46"/>
  <c r="R4"/>
  <c r="O4"/>
  <c r="L4"/>
  <c r="I4"/>
  <c r="F4"/>
  <c r="C4"/>
  <c r="A4"/>
  <c r="B4"/>
  <c r="C5"/>
  <c r="D5"/>
  <c r="F5"/>
  <c r="G5"/>
  <c r="I5"/>
  <c r="J5"/>
  <c r="L5"/>
  <c r="M5"/>
  <c r="O5"/>
  <c r="P5"/>
  <c r="R5"/>
  <c r="S5"/>
  <c r="A7"/>
  <c r="B7"/>
  <c r="C7"/>
  <c r="D7"/>
  <c r="F7"/>
  <c r="G7"/>
  <c r="I7"/>
  <c r="J7"/>
  <c r="L7"/>
  <c r="M7"/>
  <c r="O7"/>
  <c r="P7"/>
  <c r="R7"/>
  <c r="S7"/>
  <c r="W7"/>
  <c r="A8"/>
  <c r="B8"/>
  <c r="C8"/>
  <c r="D8"/>
  <c r="F8"/>
  <c r="G8"/>
  <c r="I8"/>
  <c r="J8"/>
  <c r="L8"/>
  <c r="M8"/>
  <c r="O8"/>
  <c r="P8"/>
  <c r="R8"/>
  <c r="S8"/>
  <c r="W8"/>
  <c r="A9"/>
  <c r="B9"/>
  <c r="C9"/>
  <c r="D9"/>
  <c r="F9"/>
  <c r="G9"/>
  <c r="I9"/>
  <c r="J9"/>
  <c r="L9"/>
  <c r="M9"/>
  <c r="O9"/>
  <c r="P9"/>
  <c r="R9"/>
  <c r="S9"/>
  <c r="W9"/>
  <c r="A10"/>
  <c r="B10"/>
  <c r="C10"/>
  <c r="D10"/>
  <c r="F10"/>
  <c r="G10"/>
  <c r="I10"/>
  <c r="J10"/>
  <c r="L10"/>
  <c r="M10"/>
  <c r="O10"/>
  <c r="P10"/>
  <c r="R10"/>
  <c r="S10"/>
  <c r="W10"/>
  <c r="A11"/>
  <c r="B11"/>
  <c r="C11"/>
  <c r="D11"/>
  <c r="F11"/>
  <c r="G11"/>
  <c r="I11"/>
  <c r="J11"/>
  <c r="L11"/>
  <c r="M11"/>
  <c r="O11"/>
  <c r="P11"/>
  <c r="R11"/>
  <c r="S11"/>
  <c r="W11"/>
  <c r="A12"/>
  <c r="B12"/>
  <c r="C12"/>
  <c r="D12"/>
  <c r="F12"/>
  <c r="G12"/>
  <c r="I12"/>
  <c r="J12"/>
  <c r="L12"/>
  <c r="M12"/>
  <c r="O12"/>
  <c r="P12"/>
  <c r="R12"/>
  <c r="S12"/>
  <c r="W12"/>
  <c r="A13"/>
  <c r="B13"/>
  <c r="C13"/>
  <c r="D13"/>
  <c r="F13"/>
  <c r="G13"/>
  <c r="I13"/>
  <c r="J13"/>
  <c r="L13"/>
  <c r="M13"/>
  <c r="O13"/>
  <c r="P13"/>
  <c r="R13"/>
  <c r="S13"/>
  <c r="W13"/>
  <c r="A14"/>
  <c r="B14"/>
  <c r="C14"/>
  <c r="D14"/>
  <c r="F14"/>
  <c r="G14"/>
  <c r="I14"/>
  <c r="J14"/>
  <c r="L14"/>
  <c r="M14"/>
  <c r="O14"/>
  <c r="P14"/>
  <c r="R14"/>
  <c r="S14"/>
  <c r="W14"/>
  <c r="A15"/>
  <c r="B15"/>
  <c r="C15"/>
  <c r="D15"/>
  <c r="F15"/>
  <c r="G15"/>
  <c r="I15"/>
  <c r="J15"/>
  <c r="L15"/>
  <c r="M15"/>
  <c r="O15"/>
  <c r="P15"/>
  <c r="R15"/>
  <c r="S15"/>
  <c r="W15"/>
  <c r="A17"/>
  <c r="B17"/>
  <c r="C17"/>
  <c r="D17"/>
  <c r="F17"/>
  <c r="G17"/>
  <c r="I17"/>
  <c r="J17"/>
  <c r="L17"/>
  <c r="M17"/>
  <c r="O17"/>
  <c r="P17"/>
  <c r="R17"/>
  <c r="S17"/>
  <c r="W17"/>
  <c r="A18"/>
  <c r="B18"/>
  <c r="C18"/>
  <c r="D18"/>
  <c r="F18"/>
  <c r="G18"/>
  <c r="I18"/>
  <c r="J18"/>
  <c r="L18"/>
  <c r="M18"/>
  <c r="O18"/>
  <c r="P18"/>
  <c r="R18"/>
  <c r="S18"/>
  <c r="W18"/>
  <c r="A19"/>
  <c r="B19"/>
  <c r="C19"/>
  <c r="D19"/>
  <c r="F19"/>
  <c r="G19"/>
  <c r="I19"/>
  <c r="J19"/>
  <c r="L19"/>
  <c r="M19"/>
  <c r="O19"/>
  <c r="P19"/>
  <c r="R19"/>
  <c r="S19"/>
  <c r="W19"/>
  <c r="A20"/>
  <c r="B20"/>
  <c r="C20"/>
  <c r="D20"/>
  <c r="F20"/>
  <c r="G20"/>
  <c r="I20"/>
  <c r="J20"/>
  <c r="L20"/>
  <c r="M20"/>
  <c r="O20"/>
  <c r="P20"/>
  <c r="R20"/>
  <c r="S20"/>
  <c r="W20"/>
  <c r="A21"/>
  <c r="B21"/>
  <c r="C21"/>
  <c r="D21"/>
  <c r="F21"/>
  <c r="G21"/>
  <c r="I21"/>
  <c r="J21"/>
  <c r="L21"/>
  <c r="M21"/>
  <c r="O21"/>
  <c r="P21"/>
  <c r="R21"/>
  <c r="S21"/>
  <c r="W21"/>
  <c r="A22"/>
  <c r="B22"/>
  <c r="C22"/>
  <c r="D22"/>
  <c r="F22"/>
  <c r="G22"/>
  <c r="I22"/>
  <c r="J22"/>
  <c r="L22"/>
  <c r="M22"/>
  <c r="O22"/>
  <c r="P22"/>
  <c r="R22"/>
  <c r="S22"/>
  <c r="W22"/>
  <c r="A23"/>
  <c r="B23"/>
  <c r="C23"/>
  <c r="D23"/>
  <c r="F23"/>
  <c r="G23"/>
  <c r="I23"/>
  <c r="J23"/>
  <c r="L23"/>
  <c r="M23"/>
  <c r="O23"/>
  <c r="P23"/>
  <c r="R23"/>
  <c r="S23"/>
  <c r="W23"/>
  <c r="A24"/>
  <c r="B24"/>
  <c r="C24"/>
  <c r="D24"/>
  <c r="F24"/>
  <c r="G24"/>
  <c r="I24"/>
  <c r="J24"/>
  <c r="L24"/>
  <c r="M24"/>
  <c r="O24"/>
  <c r="P24"/>
  <c r="R24"/>
  <c r="S24"/>
  <c r="W24"/>
  <c r="A25"/>
  <c r="B25"/>
  <c r="C25"/>
  <c r="D25"/>
  <c r="F25"/>
  <c r="G25"/>
  <c r="I25"/>
  <c r="J25"/>
  <c r="L25"/>
  <c r="M25"/>
  <c r="O25"/>
  <c r="P25"/>
  <c r="R25"/>
  <c r="S25"/>
  <c r="W25"/>
  <c r="A26"/>
  <c r="B26"/>
  <c r="C26"/>
  <c r="D26"/>
  <c r="F26"/>
  <c r="G26"/>
  <c r="I26"/>
  <c r="J26"/>
  <c r="L26"/>
  <c r="M26"/>
  <c r="O26"/>
  <c r="P26"/>
  <c r="R26"/>
  <c r="S26"/>
  <c r="W26"/>
  <c r="A27"/>
  <c r="B27"/>
  <c r="C27"/>
  <c r="D27"/>
  <c r="F27"/>
  <c r="G27"/>
  <c r="I27"/>
  <c r="J27"/>
  <c r="L27"/>
  <c r="M27"/>
  <c r="O27"/>
  <c r="P27"/>
  <c r="R27"/>
  <c r="S27"/>
  <c r="W27"/>
  <c r="A30"/>
  <c r="B30"/>
  <c r="C30"/>
  <c r="D30"/>
  <c r="F30"/>
  <c r="G30"/>
  <c r="I30"/>
  <c r="J30"/>
  <c r="L30"/>
  <c r="M30"/>
  <c r="O30"/>
  <c r="P30"/>
  <c r="R30"/>
  <c r="S30"/>
  <c r="U30"/>
  <c r="V30"/>
  <c r="W30"/>
  <c r="A31"/>
  <c r="B31"/>
  <c r="C31"/>
  <c r="D31"/>
  <c r="F31"/>
  <c r="G31"/>
  <c r="I31"/>
  <c r="J31"/>
  <c r="L31"/>
  <c r="M31"/>
  <c r="O31"/>
  <c r="P31"/>
  <c r="R31"/>
  <c r="S31"/>
  <c r="U31"/>
  <c r="V31"/>
  <c r="W31"/>
  <c r="A32"/>
  <c r="B32"/>
  <c r="C32"/>
  <c r="D32"/>
  <c r="F32"/>
  <c r="G32"/>
  <c r="I32"/>
  <c r="J32"/>
  <c r="L32"/>
  <c r="M32"/>
  <c r="O32"/>
  <c r="P32"/>
  <c r="R32"/>
  <c r="S32"/>
  <c r="U32"/>
  <c r="V32"/>
  <c r="W32"/>
  <c r="A33"/>
  <c r="B33"/>
  <c r="C33"/>
  <c r="D33"/>
  <c r="F33"/>
  <c r="G33"/>
  <c r="I33"/>
  <c r="J33"/>
  <c r="L33"/>
  <c r="M33"/>
  <c r="O33"/>
  <c r="P33"/>
  <c r="R33"/>
  <c r="S33"/>
  <c r="U33"/>
  <c r="V33"/>
  <c r="W33"/>
  <c r="A34"/>
  <c r="B34"/>
  <c r="C34"/>
  <c r="D34"/>
  <c r="F34"/>
  <c r="G34"/>
  <c r="I34"/>
  <c r="J34"/>
  <c r="L34"/>
  <c r="M34"/>
  <c r="O34"/>
  <c r="P34"/>
  <c r="R34"/>
  <c r="S34"/>
  <c r="U34"/>
  <c r="V34"/>
  <c r="W34"/>
  <c r="A35"/>
  <c r="B35"/>
  <c r="C35"/>
  <c r="D35"/>
  <c r="F35"/>
  <c r="G35"/>
  <c r="I35"/>
  <c r="J35"/>
  <c r="L35"/>
  <c r="M35"/>
  <c r="O35"/>
  <c r="P35"/>
  <c r="R35"/>
  <c r="S35"/>
  <c r="U35"/>
  <c r="V35"/>
  <c r="W35"/>
  <c r="A37"/>
  <c r="B37"/>
  <c r="C37"/>
  <c r="D37"/>
  <c r="F37"/>
  <c r="G37"/>
  <c r="I37"/>
  <c r="J37"/>
  <c r="L37"/>
  <c r="M37"/>
  <c r="O37"/>
  <c r="P37"/>
  <c r="R37"/>
  <c r="S37"/>
  <c r="W37"/>
  <c r="A38"/>
  <c r="B38"/>
  <c r="C38"/>
  <c r="D38"/>
  <c r="F38"/>
  <c r="G38"/>
  <c r="I38"/>
  <c r="J38"/>
  <c r="L38"/>
  <c r="M38"/>
  <c r="O38"/>
  <c r="P38"/>
  <c r="R38"/>
  <c r="S38"/>
  <c r="W38"/>
  <c r="A39"/>
  <c r="B39"/>
  <c r="C39"/>
  <c r="D39"/>
  <c r="F39"/>
  <c r="G39"/>
  <c r="I39"/>
  <c r="J39"/>
  <c r="L39"/>
  <c r="M39"/>
  <c r="O39"/>
  <c r="P39"/>
  <c r="R39"/>
  <c r="S39"/>
  <c r="W39"/>
  <c r="A40"/>
  <c r="B40"/>
  <c r="C40"/>
  <c r="D40"/>
  <c r="F40"/>
  <c r="G40"/>
  <c r="I40"/>
  <c r="J40"/>
  <c r="L40"/>
  <c r="M40"/>
  <c r="O40"/>
  <c r="P40"/>
  <c r="R40"/>
  <c r="S40"/>
  <c r="W40"/>
  <c r="A41"/>
  <c r="B41"/>
  <c r="C41"/>
  <c r="D41"/>
  <c r="F41"/>
  <c r="G41"/>
  <c r="I41"/>
  <c r="J41"/>
  <c r="L41"/>
  <c r="M41"/>
  <c r="O41"/>
  <c r="P41"/>
  <c r="R41"/>
  <c r="S41"/>
  <c r="W41"/>
  <c r="A42"/>
  <c r="B42"/>
  <c r="C42"/>
  <c r="D42"/>
  <c r="F42"/>
  <c r="G42"/>
  <c r="I42"/>
  <c r="J42"/>
  <c r="L42"/>
  <c r="M42"/>
  <c r="O42"/>
  <c r="P42"/>
  <c r="R42"/>
  <c r="S42"/>
  <c r="W42"/>
  <c r="A43"/>
  <c r="B43"/>
  <c r="C43"/>
  <c r="D43"/>
  <c r="F43"/>
  <c r="G43"/>
  <c r="I43"/>
  <c r="J43"/>
  <c r="L43"/>
  <c r="M43"/>
  <c r="O43"/>
  <c r="P43"/>
  <c r="R43"/>
  <c r="S43"/>
  <c r="W43"/>
  <c r="A44"/>
  <c r="B44"/>
  <c r="C44"/>
  <c r="D44"/>
  <c r="F44"/>
  <c r="G44"/>
  <c r="I44"/>
  <c r="J44"/>
  <c r="L44"/>
  <c r="M44"/>
  <c r="O44"/>
  <c r="P44"/>
  <c r="R44"/>
  <c r="S44"/>
  <c r="W44"/>
  <c r="A47"/>
  <c r="B47"/>
  <c r="C47"/>
  <c r="D47"/>
  <c r="F47"/>
  <c r="G47"/>
  <c r="I47"/>
  <c r="J47"/>
  <c r="L47"/>
  <c r="M47"/>
  <c r="O47"/>
  <c r="P47"/>
  <c r="R47"/>
  <c r="S47"/>
  <c r="U47"/>
  <c r="V47"/>
  <c r="W47"/>
  <c r="A48"/>
  <c r="B48"/>
  <c r="C48"/>
  <c r="D48"/>
  <c r="F48"/>
  <c r="G48"/>
  <c r="I48"/>
  <c r="J48"/>
  <c r="L48"/>
  <c r="M48"/>
  <c r="O48"/>
  <c r="P48"/>
  <c r="R48"/>
  <c r="S48"/>
  <c r="U48"/>
  <c r="V48"/>
  <c r="W48"/>
  <c r="A48"/>
  <c r="B48"/>
  <c r="C49"/>
  <c r="D49"/>
  <c r="F49"/>
  <c r="G49"/>
  <c r="I49"/>
  <c r="J49"/>
  <c r="L49"/>
  <c r="M49"/>
  <c r="O49"/>
  <c r="P49"/>
  <c r="R49"/>
  <c r="S49"/>
  <c r="U49"/>
  <c r="V49"/>
  <c r="W49"/>
  <c r="A50"/>
  <c r="B50"/>
  <c r="C50"/>
  <c r="D50"/>
  <c r="F50"/>
  <c r="G50"/>
  <c r="I50"/>
  <c r="J50"/>
  <c r="L50"/>
  <c r="M50"/>
  <c r="O50"/>
  <c r="P50"/>
  <c r="R50"/>
  <c r="S50"/>
  <c r="U50"/>
  <c r="V50"/>
  <c r="W50"/>
  <c r="A51"/>
  <c r="B51"/>
  <c r="C51"/>
  <c r="D51"/>
  <c r="F51"/>
  <c r="G51"/>
  <c r="I51"/>
  <c r="J51"/>
  <c r="L51"/>
  <c r="M51"/>
  <c r="O51"/>
  <c r="P51"/>
  <c r="R51"/>
  <c r="S51"/>
  <c r="U51"/>
  <c r="V51"/>
  <c r="W51"/>
  <c r="A52"/>
  <c r="B52"/>
  <c r="C52"/>
  <c r="D52"/>
  <c r="F52"/>
  <c r="G52"/>
  <c r="I52"/>
  <c r="J52"/>
  <c r="L52"/>
  <c r="M52"/>
  <c r="O52"/>
  <c r="P52"/>
  <c r="R52"/>
  <c r="S52"/>
  <c r="U52"/>
  <c r="V52"/>
  <c r="W52"/>
  <c r="A53"/>
  <c r="B53"/>
  <c r="C53"/>
  <c r="D53"/>
  <c r="F53"/>
  <c r="G53"/>
  <c r="I53"/>
  <c r="J53"/>
  <c r="L53"/>
  <c r="M53"/>
  <c r="O53"/>
  <c r="P53"/>
  <c r="R53"/>
  <c r="S53"/>
  <c r="U53"/>
  <c r="V53"/>
  <c r="W53"/>
  <c r="A54"/>
  <c r="B54"/>
  <c r="C54"/>
  <c r="D54"/>
  <c r="F54"/>
  <c r="G54"/>
  <c r="I54"/>
  <c r="J54"/>
  <c r="L54"/>
  <c r="M54"/>
  <c r="O54"/>
  <c r="P54"/>
  <c r="R54"/>
  <c r="S54"/>
  <c r="U54"/>
  <c r="V54"/>
  <c r="W54"/>
  <c r="A55"/>
  <c r="B55"/>
  <c r="C55"/>
  <c r="D55"/>
  <c r="F55"/>
  <c r="G55"/>
  <c r="I55"/>
  <c r="J55"/>
  <c r="L55"/>
  <c r="M55"/>
  <c r="O55"/>
  <c r="P55"/>
  <c r="R55"/>
  <c r="S55"/>
  <c r="U55"/>
  <c r="V55"/>
  <c r="W55"/>
  <c r="A58"/>
  <c r="A59"/>
  <c r="A60"/>
  <c r="I60"/>
  <c r="A57"/>
  <c r="C57"/>
  <c r="F57"/>
  <c r="I57"/>
  <c r="L57"/>
  <c r="O57"/>
  <c r="R57"/>
  <c r="AE58" i="3"/>
  <c r="AB62" s="1"/>
  <c r="R59" i="11" s="1"/>
  <c r="Z58" i="3"/>
  <c r="W62" s="1"/>
  <c r="O59" i="11" s="1"/>
  <c r="U58" i="3"/>
  <c r="R62" s="1"/>
  <c r="L59" i="11" s="1"/>
  <c r="P58" i="3"/>
  <c r="M62" s="1"/>
  <c r="I59" i="11" s="1"/>
  <c r="K58" i="3"/>
  <c r="F58" i="11" s="1"/>
  <c r="F58" i="3"/>
  <c r="C58" i="11" s="1"/>
  <c r="AI7" i="3"/>
  <c r="AI8"/>
  <c r="AI9"/>
  <c r="AI10"/>
  <c r="AI11"/>
  <c r="AI12"/>
  <c r="AI13"/>
  <c r="AI14"/>
  <c r="AI15"/>
  <c r="AI17"/>
  <c r="AI18"/>
  <c r="AI19"/>
  <c r="AI20"/>
  <c r="AI21"/>
  <c r="AI22"/>
  <c r="AI23"/>
  <c r="AI24"/>
  <c r="AI25"/>
  <c r="AI26"/>
  <c r="AI27"/>
  <c r="AI37"/>
  <c r="AI38"/>
  <c r="AI39"/>
  <c r="AI40"/>
  <c r="AI41"/>
  <c r="AI42"/>
  <c r="AI43"/>
  <c r="AI44"/>
  <c r="AD8"/>
  <c r="AD9"/>
  <c r="AD10"/>
  <c r="AD11"/>
  <c r="AD12"/>
  <c r="AD13"/>
  <c r="AD14"/>
  <c r="AD15"/>
  <c r="AD17"/>
  <c r="AD18"/>
  <c r="AD19"/>
  <c r="AD20"/>
  <c r="AD21"/>
  <c r="AD22"/>
  <c r="AD23"/>
  <c r="AD24"/>
  <c r="AD25"/>
  <c r="AD26"/>
  <c r="AD27"/>
  <c r="AD37"/>
  <c r="AD38"/>
  <c r="AD39"/>
  <c r="AD40"/>
  <c r="AD41"/>
  <c r="AD42"/>
  <c r="AD43"/>
  <c r="AD44"/>
  <c r="AD7"/>
  <c r="AD60" s="1"/>
  <c r="Y8"/>
  <c r="Y9"/>
  <c r="Y10"/>
  <c r="Y11"/>
  <c r="Y12"/>
  <c r="Y13"/>
  <c r="Y14"/>
  <c r="Y15"/>
  <c r="Y17"/>
  <c r="Y18"/>
  <c r="Y19"/>
  <c r="Y20"/>
  <c r="Y21"/>
  <c r="Y22"/>
  <c r="Y23"/>
  <c r="Y24"/>
  <c r="Y25"/>
  <c r="Y26"/>
  <c r="Y27"/>
  <c r="Y37"/>
  <c r="Y41"/>
  <c r="Y42"/>
  <c r="Y43"/>
  <c r="Y44"/>
  <c r="Y7"/>
  <c r="Y60" s="1"/>
  <c r="Y63" s="1"/>
  <c r="T8"/>
  <c r="T9"/>
  <c r="T10"/>
  <c r="T11"/>
  <c r="T13"/>
  <c r="T14"/>
  <c r="T15"/>
  <c r="T17"/>
  <c r="T18"/>
  <c r="T19"/>
  <c r="T20"/>
  <c r="T21"/>
  <c r="T22"/>
  <c r="T23"/>
  <c r="T24"/>
  <c r="T25"/>
  <c r="T26"/>
  <c r="T27"/>
  <c r="T37"/>
  <c r="T38"/>
  <c r="T39"/>
  <c r="AG39" s="1"/>
  <c r="AJ39" s="1"/>
  <c r="U39" i="11" s="1"/>
  <c r="T40" i="3"/>
  <c r="T41"/>
  <c r="T42"/>
  <c r="T43"/>
  <c r="T44"/>
  <c r="T7"/>
  <c r="T60" s="1"/>
  <c r="O8"/>
  <c r="O9"/>
  <c r="O10"/>
  <c r="O11"/>
  <c r="O12"/>
  <c r="O13"/>
  <c r="O14"/>
  <c r="O15"/>
  <c r="O59" s="1"/>
  <c r="O17"/>
  <c r="O18"/>
  <c r="O19"/>
  <c r="O20"/>
  <c r="O21"/>
  <c r="O22"/>
  <c r="O23"/>
  <c r="O24"/>
  <c r="O25"/>
  <c r="O26"/>
  <c r="O27"/>
  <c r="O37"/>
  <c r="O38"/>
  <c r="O39"/>
  <c r="O40"/>
  <c r="O41"/>
  <c r="O42"/>
  <c r="O43"/>
  <c r="O44"/>
  <c r="O7"/>
  <c r="J8"/>
  <c r="J9"/>
  <c r="J10"/>
  <c r="AG10" s="1"/>
  <c r="AJ10" s="1"/>
  <c r="U10" i="11" s="1"/>
  <c r="J11" i="3"/>
  <c r="J12"/>
  <c r="J13"/>
  <c r="AG13" s="1"/>
  <c r="AJ13" s="1"/>
  <c r="U13" i="11" s="1"/>
  <c r="J14" i="3"/>
  <c r="J15"/>
  <c r="J17"/>
  <c r="J18"/>
  <c r="J19"/>
  <c r="J20"/>
  <c r="J21"/>
  <c r="J22"/>
  <c r="J23"/>
  <c r="J24"/>
  <c r="J25"/>
  <c r="J26"/>
  <c r="J27"/>
  <c r="J37"/>
  <c r="J38"/>
  <c r="J39"/>
  <c r="J40"/>
  <c r="J41"/>
  <c r="J42"/>
  <c r="J43"/>
  <c r="J44"/>
  <c r="AG44" s="1"/>
  <c r="AJ44" s="1"/>
  <c r="U44" i="11" s="1"/>
  <c r="J7" i="3"/>
  <c r="J60" s="1"/>
  <c r="H62"/>
  <c r="F59" i="11" s="1"/>
  <c r="E8" i="3"/>
  <c r="AG8" s="1"/>
  <c r="AJ8" s="1"/>
  <c r="U8" i="11" s="1"/>
  <c r="E9" i="3"/>
  <c r="AG9" s="1"/>
  <c r="AJ9" s="1"/>
  <c r="U9" i="11" s="1"/>
  <c r="E10" i="3"/>
  <c r="E11"/>
  <c r="E12"/>
  <c r="E13"/>
  <c r="E14"/>
  <c r="E15"/>
  <c r="E17"/>
  <c r="AG17" s="1"/>
  <c r="AJ17" s="1"/>
  <c r="AK17" s="1"/>
  <c r="E18"/>
  <c r="E19"/>
  <c r="E20"/>
  <c r="E21"/>
  <c r="E22"/>
  <c r="E23"/>
  <c r="AG23" s="1"/>
  <c r="AJ23" s="1"/>
  <c r="U23" i="11" s="1"/>
  <c r="E24" i="3"/>
  <c r="E25"/>
  <c r="E26"/>
  <c r="E27"/>
  <c r="E37"/>
  <c r="E38"/>
  <c r="AG38" s="1"/>
  <c r="AJ38" s="1"/>
  <c r="U38" i="11" s="1"/>
  <c r="E39" i="3"/>
  <c r="E40"/>
  <c r="E41"/>
  <c r="E42"/>
  <c r="E43"/>
  <c r="E44"/>
  <c r="E7"/>
  <c r="E60" s="1"/>
  <c r="AB63"/>
  <c r="R60" i="11" s="1"/>
  <c r="W63" i="3"/>
  <c r="O60" i="11" s="1"/>
  <c r="R63" i="3"/>
  <c r="L60" i="11" s="1"/>
  <c r="H63" i="3"/>
  <c r="F60" i="11" s="1"/>
  <c r="C63" i="3"/>
  <c r="C60" i="11" s="1"/>
  <c r="Q12" i="4"/>
  <c r="Q11"/>
  <c r="Q10"/>
  <c r="Q9"/>
  <c r="Q8"/>
  <c r="Q7"/>
  <c r="Q6"/>
  <c r="O9" i="5"/>
  <c r="O10"/>
  <c r="O11"/>
  <c r="O14"/>
  <c r="O15"/>
  <c r="O21"/>
  <c r="O22"/>
  <c r="O23"/>
  <c r="O24"/>
  <c r="O25"/>
  <c r="O26"/>
  <c r="O27"/>
  <c r="N14"/>
  <c r="N15"/>
  <c r="N16"/>
  <c r="O16" s="1"/>
  <c r="N17"/>
  <c r="O17" s="1"/>
  <c r="N18"/>
  <c r="O18" s="1"/>
  <c r="N19"/>
  <c r="O19" s="1"/>
  <c r="N20"/>
  <c r="O20" s="1"/>
  <c r="N21"/>
  <c r="N22"/>
  <c r="N23"/>
  <c r="N24"/>
  <c r="N25"/>
  <c r="N26"/>
  <c r="N27"/>
  <c r="N28"/>
  <c r="O28" s="1"/>
  <c r="N29"/>
  <c r="O29" s="1"/>
  <c r="N13"/>
  <c r="O13" s="1"/>
  <c r="N12"/>
  <c r="O12" s="1"/>
  <c r="N8"/>
  <c r="O8" s="1"/>
  <c r="N9"/>
  <c r="N10"/>
  <c r="N11"/>
  <c r="N6"/>
  <c r="X12" i="4"/>
  <c r="W12"/>
  <c r="I12"/>
  <c r="E12"/>
  <c r="X11"/>
  <c r="W11"/>
  <c r="I11"/>
  <c r="E11"/>
  <c r="X10"/>
  <c r="Y10" s="1"/>
  <c r="W10"/>
  <c r="I10"/>
  <c r="E10"/>
  <c r="X9"/>
  <c r="W9"/>
  <c r="I9"/>
  <c r="E9"/>
  <c r="X8"/>
  <c r="W8"/>
  <c r="I8"/>
  <c r="E8"/>
  <c r="X7"/>
  <c r="Y7" s="1"/>
  <c r="W7"/>
  <c r="I7"/>
  <c r="E7"/>
  <c r="X6"/>
  <c r="W6"/>
  <c r="I6"/>
  <c r="E6"/>
  <c r="X9" i="2"/>
  <c r="Y9"/>
  <c r="Z9" s="1"/>
  <c r="X10"/>
  <c r="Y10"/>
  <c r="X11"/>
  <c r="Y11"/>
  <c r="X12"/>
  <c r="Y12"/>
  <c r="X13"/>
  <c r="Y13"/>
  <c r="X14"/>
  <c r="Y14"/>
  <c r="X15"/>
  <c r="Y15"/>
  <c r="Z15" s="1"/>
  <c r="X16"/>
  <c r="Y16"/>
  <c r="X17"/>
  <c r="Y17"/>
  <c r="X18"/>
  <c r="Y18"/>
  <c r="X19"/>
  <c r="Y19"/>
  <c r="Z19" s="1"/>
  <c r="X20"/>
  <c r="Y20"/>
  <c r="Z20" s="1"/>
  <c r="X21"/>
  <c r="Y21"/>
  <c r="X22"/>
  <c r="Y22"/>
  <c r="X23"/>
  <c r="Y23"/>
  <c r="X24"/>
  <c r="Y24"/>
  <c r="X25"/>
  <c r="Y25"/>
  <c r="X26"/>
  <c r="Y26"/>
  <c r="X27"/>
  <c r="Y27"/>
  <c r="Z27" s="1"/>
  <c r="X28"/>
  <c r="Y28"/>
  <c r="X29"/>
  <c r="Y29"/>
  <c r="X30"/>
  <c r="Y30"/>
  <c r="Y7"/>
  <c r="X7"/>
  <c r="R9"/>
  <c r="R10"/>
  <c r="R11"/>
  <c r="R12"/>
  <c r="R17"/>
  <c r="R19"/>
  <c r="R20"/>
  <c r="R7"/>
  <c r="J9"/>
  <c r="J10"/>
  <c r="J11"/>
  <c r="J12"/>
  <c r="J13"/>
  <c r="J15"/>
  <c r="J16"/>
  <c r="J21"/>
  <c r="J26"/>
  <c r="J30"/>
  <c r="J7"/>
  <c r="F27"/>
  <c r="F28"/>
  <c r="F29"/>
  <c r="F9"/>
  <c r="F10"/>
  <c r="F11"/>
  <c r="F12"/>
  <c r="F13"/>
  <c r="F7"/>
  <c r="Z29" l="1"/>
  <c r="Z17"/>
  <c r="AD59" i="3"/>
  <c r="AD62" s="1"/>
  <c r="Y59"/>
  <c r="Y62" s="1"/>
  <c r="AG42"/>
  <c r="AJ42" s="1"/>
  <c r="U42" i="11" s="1"/>
  <c r="T59" i="3"/>
  <c r="T62" s="1"/>
  <c r="I58" i="11"/>
  <c r="L58"/>
  <c r="O58"/>
  <c r="R58"/>
  <c r="AG21" i="3"/>
  <c r="AJ21" s="1"/>
  <c r="AG26"/>
  <c r="AJ26" s="1"/>
  <c r="U26" i="11" s="1"/>
  <c r="AG27" i="3"/>
  <c r="AJ27" s="1"/>
  <c r="U27" i="11" s="1"/>
  <c r="AG14" i="3"/>
  <c r="AJ14" s="1"/>
  <c r="U14" i="11" s="1"/>
  <c r="U17"/>
  <c r="AG41" i="3"/>
  <c r="AJ41" s="1"/>
  <c r="AG22"/>
  <c r="AJ22" s="1"/>
  <c r="AK23"/>
  <c r="J59"/>
  <c r="J62" s="1"/>
  <c r="AG18"/>
  <c r="AJ18" s="1"/>
  <c r="AK27"/>
  <c r="E59"/>
  <c r="AD63"/>
  <c r="T63"/>
  <c r="AK44"/>
  <c r="AG25"/>
  <c r="AJ25" s="1"/>
  <c r="AG12"/>
  <c r="AJ12" s="1"/>
  <c r="U12" i="11" s="1"/>
  <c r="AG37" i="3"/>
  <c r="AJ37" s="1"/>
  <c r="J63"/>
  <c r="AG15"/>
  <c r="AJ15" s="1"/>
  <c r="U15" i="11" s="1"/>
  <c r="AG11" i="3"/>
  <c r="AJ11" s="1"/>
  <c r="U11" i="11" s="1"/>
  <c r="AG43" i="3"/>
  <c r="AJ43" s="1"/>
  <c r="U43" i="11" s="1"/>
  <c r="AG20" i="3"/>
  <c r="AJ20" s="1"/>
  <c r="AG40"/>
  <c r="AJ40" s="1"/>
  <c r="U40" i="11" s="1"/>
  <c r="AG19" i="3"/>
  <c r="AJ19" s="1"/>
  <c r="AG7"/>
  <c r="AJ7" s="1"/>
  <c r="AG24"/>
  <c r="AJ24" s="1"/>
  <c r="Z28" i="2"/>
  <c r="AA28" s="1"/>
  <c r="O62" i="3"/>
  <c r="E63"/>
  <c r="AA27" i="2"/>
  <c r="Z11"/>
  <c r="Z30"/>
  <c r="Z12"/>
  <c r="Z13"/>
  <c r="Y12" i="4"/>
  <c r="Z16" i="2"/>
  <c r="Z21"/>
  <c r="Z10"/>
  <c r="Z26"/>
  <c r="Y8" i="4"/>
  <c r="Y11"/>
  <c r="Y9"/>
  <c r="Y6"/>
  <c r="Z7" i="2"/>
  <c r="AA9" s="1"/>
  <c r="V27" i="11" l="1"/>
  <c r="V44"/>
  <c r="V23"/>
  <c r="AK22" i="3"/>
  <c r="U22" i="11"/>
  <c r="AK18" i="3"/>
  <c r="U18" i="11"/>
  <c r="AK24" i="3"/>
  <c r="U24" i="11"/>
  <c r="AK26" i="3"/>
  <c r="AK41"/>
  <c r="U41" i="11"/>
  <c r="AK37" i="3"/>
  <c r="U37" i="11"/>
  <c r="AK21" i="3"/>
  <c r="U21" i="11"/>
  <c r="AK19" i="3"/>
  <c r="U19" i="11"/>
  <c r="AK25" i="3"/>
  <c r="U25" i="11"/>
  <c r="AK20" i="3"/>
  <c r="U20" i="11"/>
  <c r="AK9" i="3"/>
  <c r="U7" i="11"/>
  <c r="AK38" i="3"/>
  <c r="AK15"/>
  <c r="AK11"/>
  <c r="AK43"/>
  <c r="AK8"/>
  <c r="AK40"/>
  <c r="AK42"/>
  <c r="AK39"/>
  <c r="AK14"/>
  <c r="AK7"/>
  <c r="AK13"/>
  <c r="AK10"/>
  <c r="AK12"/>
  <c r="AA29" i="2"/>
  <c r="AA17"/>
  <c r="AA20"/>
  <c r="AA19"/>
  <c r="AA21"/>
  <c r="AA15"/>
  <c r="AA30"/>
  <c r="AA12"/>
  <c r="AA16"/>
  <c r="AA11"/>
  <c r="AA13"/>
  <c r="AA10"/>
  <c r="AA26"/>
  <c r="E62" i="3"/>
  <c r="C62"/>
  <c r="C59" i="11" s="1"/>
  <c r="V26" l="1"/>
  <c r="V10"/>
  <c r="V13"/>
  <c r="V11"/>
  <c r="V41"/>
  <c r="V19"/>
  <c r="V22"/>
  <c r="V40"/>
  <c r="V18"/>
  <c r="V9"/>
  <c r="V38"/>
  <c r="V25"/>
  <c r="V12"/>
  <c r="V15"/>
  <c r="V21"/>
  <c r="V39"/>
  <c r="V24"/>
  <c r="V43"/>
  <c r="V8"/>
  <c r="V42"/>
  <c r="V14"/>
  <c r="V20"/>
</calcChain>
</file>

<file path=xl/comments1.xml><?xml version="1.0" encoding="utf-8"?>
<comments xmlns="http://schemas.openxmlformats.org/spreadsheetml/2006/main">
  <authors>
    <author>David Goddard</author>
  </authors>
  <commentList>
    <comment ref="C3" authorId="0">
      <text>
        <r>
          <rPr>
            <b/>
            <sz val="9"/>
            <color indexed="81"/>
            <rFont val="Tahoma"/>
            <charset val="1"/>
          </rPr>
          <t>David Goddard:</t>
        </r>
        <r>
          <rPr>
            <sz val="9"/>
            <color indexed="81"/>
            <rFont val="Tahoma"/>
            <charset val="1"/>
          </rPr>
          <t xml:space="preserve">
Abbreviated version of tags for readability</t>
        </r>
      </text>
    </comment>
    <comment ref="AK8" authorId="0">
      <text>
        <r>
          <rPr>
            <b/>
            <sz val="9"/>
            <color indexed="81"/>
            <rFont val="Tahoma"/>
            <charset val="1"/>
          </rPr>
          <t>David Goddard:</t>
        </r>
        <r>
          <rPr>
            <sz val="9"/>
            <color indexed="81"/>
            <rFont val="Tahoma"/>
            <charset val="1"/>
          </rPr>
          <t xml:space="preserve">
Thiis is the difference between the model-specific number and the ALL value for this persona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David Goddard:</t>
        </r>
        <r>
          <rPr>
            <sz val="9"/>
            <color indexed="81"/>
            <rFont val="Tahoma"/>
            <family val="2"/>
          </rPr>
          <t xml:space="preserve">
Leave blank for now to avoid braking averages</t>
        </r>
      </text>
    </comment>
    <comment ref="A66" authorId="0">
      <text>
        <r>
          <rPr>
            <b/>
            <sz val="9"/>
            <color indexed="81"/>
            <rFont val="Tahoma"/>
            <charset val="1"/>
          </rPr>
          <t>David Goddard:</t>
        </r>
        <r>
          <rPr>
            <sz val="9"/>
            <color indexed="81"/>
            <rFont val="Tahoma"/>
            <charset val="1"/>
          </rPr>
          <t xml:space="preserve">
Used for chart axes</t>
        </r>
      </text>
    </comment>
  </commentList>
</comments>
</file>

<file path=xl/sharedStrings.xml><?xml version="1.0" encoding="utf-8"?>
<sst xmlns="http://schemas.openxmlformats.org/spreadsheetml/2006/main" count="468" uniqueCount="121">
  <si>
    <t>cycling</t>
  </si>
  <si>
    <t>cycling-logistics</t>
  </si>
  <si>
    <t>interested</t>
  </si>
  <si>
    <t>pers-urgency</t>
  </si>
  <si>
    <t>tech</t>
  </si>
  <si>
    <t>urgency</t>
  </si>
  <si>
    <t>work-logistics</t>
  </si>
  <si>
    <t>work-pers</t>
  </si>
  <si>
    <t>work-relevant</t>
  </si>
  <si>
    <t>work-urgency</t>
  </si>
  <si>
    <t>ALL</t>
  </si>
  <si>
    <t>football</t>
  </si>
  <si>
    <t>golf</t>
  </si>
  <si>
    <t>golf-logistics</t>
  </si>
  <si>
    <t>tennis</t>
  </si>
  <si>
    <t>tennis-arrangements</t>
  </si>
  <si>
    <t>tennis-organising</t>
  </si>
  <si>
    <t>riding</t>
  </si>
  <si>
    <t>riding-arrangements</t>
  </si>
  <si>
    <t>school-importance</t>
  </si>
  <si>
    <t>company-law</t>
  </si>
  <si>
    <t>friend-group</t>
  </si>
  <si>
    <t>personal-interested</t>
  </si>
  <si>
    <t>Items</t>
  </si>
  <si>
    <t>% Agree</t>
  </si>
  <si>
    <t>Susan</t>
  </si>
  <si>
    <t>Agree</t>
  </si>
  <si>
    <t>Adam</t>
  </si>
  <si>
    <t>Kenton</t>
  </si>
  <si>
    <t>count_items</t>
  </si>
  <si>
    <t>Number of items in the dataset 'phase2' having a manual classification record (the numerator in the percentage calculation)</t>
  </si>
  <si>
    <t>count_agree</t>
  </si>
  <si>
    <t>Number of items in the dataset 'phase2' having a manual classification record that agrees with the ML classification (the denominator in the percentage calculation)</t>
  </si>
  <si>
    <t>percentage_agree</t>
  </si>
  <si>
    <t>Percentage of records in dataset 'phase2' having a manual classification, which agrees with the ML classification</t>
  </si>
  <si>
    <t>Day 1</t>
  </si>
  <si>
    <t>Day 2</t>
  </si>
  <si>
    <t>Percent Of Classification Manual Agrees (Time Series)</t>
  </si>
  <si>
    <t>Day 3</t>
  </si>
  <si>
    <t>Day 4</t>
  </si>
  <si>
    <t>Day 5</t>
  </si>
  <si>
    <t>Day 6</t>
  </si>
  <si>
    <t>Day 7</t>
  </si>
  <si>
    <t>w-l</t>
  </si>
  <si>
    <t>w-p</t>
  </si>
  <si>
    <t>w-r</t>
  </si>
  <si>
    <t>f-g</t>
  </si>
  <si>
    <t>g-l</t>
  </si>
  <si>
    <t>p-u</t>
  </si>
  <si>
    <t>p-i</t>
  </si>
  <si>
    <t>r</t>
  </si>
  <si>
    <t>r-a</t>
  </si>
  <si>
    <t>s-i</t>
  </si>
  <si>
    <t>tc</t>
  </si>
  <si>
    <t>tn</t>
  </si>
  <si>
    <t>t-a</t>
  </si>
  <si>
    <t>t-o</t>
  </si>
  <si>
    <t>w-u</t>
  </si>
  <si>
    <t>ur</t>
  </si>
  <si>
    <t>in</t>
  </si>
  <si>
    <t>cy</t>
  </si>
  <si>
    <t>fo</t>
  </si>
  <si>
    <t>go</t>
  </si>
  <si>
    <t>ri</t>
  </si>
  <si>
    <t>#</t>
  </si>
  <si>
    <t>Day</t>
  </si>
  <si>
    <t>Model</t>
  </si>
  <si>
    <t>co-l</t>
  </si>
  <si>
    <t>cy-l</t>
  </si>
  <si>
    <t>Phoebe</t>
  </si>
  <si>
    <t>Usha</t>
  </si>
  <si>
    <t>Note that the ALL column represents a MEAN of the Cohen's Kappa values for each of the Persona columns</t>
  </si>
  <si>
    <t>phase2-vanilla-mode1-01</t>
  </si>
  <si>
    <t>phase2-vanilla-mode1-02</t>
  </si>
  <si>
    <t>phase2-vanilla-mode2-01</t>
  </si>
  <si>
    <t>phase2-base-mode2-01</t>
  </si>
  <si>
    <t>phase2-vanilla4-mode2-01</t>
  </si>
  <si>
    <t>phase2-vanilla4o-mode2-01</t>
  </si>
  <si>
    <t>Persona</t>
  </si>
  <si>
    <t>Y</t>
  </si>
  <si>
    <t>Notes:</t>
  </si>
  <si>
    <t>p</t>
  </si>
  <si>
    <t>z</t>
  </si>
  <si>
    <t>include?</t>
  </si>
  <si>
    <t>z column is Fischer's Z-Transformation of correlation value, r (https://www.statology.org/fisher-z-transformation/)</t>
  </si>
  <si>
    <t>Mean calculations only include those marked with an "include?" flag of Y (having p &lt; ~0.05)</t>
  </si>
  <si>
    <t>ALL rows have been calculated separately at source so are handled seperately for averaging</t>
  </si>
  <si>
    <t>Percentage of significant rows:</t>
  </si>
  <si>
    <t>Mean Z (excl. ALL):</t>
  </si>
  <si>
    <t>Mean Z (ALL):</t>
  </si>
  <si>
    <t>Simple</t>
  </si>
  <si>
    <t>Via Z</t>
  </si>
  <si>
    <t>n/a</t>
  </si>
  <si>
    <t>Mean is calculated in two ways: Simple - a mean of the individual r values; Via Z: a mean of z values converted back to an r value</t>
  </si>
  <si>
    <t>Mean R (significant only)</t>
  </si>
  <si>
    <t>(Mean z)</t>
  </si>
  <si>
    <t>c-l</t>
  </si>
  <si>
    <t>V-M1-A</t>
  </si>
  <si>
    <t>V-M1-B</t>
  </si>
  <si>
    <t>V-M2</t>
  </si>
  <si>
    <t>B-M2</t>
  </si>
  <si>
    <t>V4-M2</t>
  </si>
  <si>
    <t>V4o-M2</t>
  </si>
  <si>
    <t>Mean r</t>
  </si>
  <si>
    <t>vanilla-mode1-01</t>
  </si>
  <si>
    <t>vanilla-mode1-02</t>
  </si>
  <si>
    <t>vanilla-mode2-01</t>
  </si>
  <si>
    <t>base-mode2-01</t>
  </si>
  <si>
    <t>vanilla4-mode2-01</t>
  </si>
  <si>
    <t>vanilla4o-mode2-01</t>
  </si>
  <si>
    <t>Pearson Correlation for Evaluation Feedback</t>
  </si>
  <si>
    <t>This table contains values for each combination of Persona, UD-ML Model and Output Tag evaluated, showing the correlation between synthetic evaluations and participant-entered feedback.  The higher the correlation, the more accurate the synthetic evaluation was.  Mean values are calculated for rows and columns using only those r values having a significant correlation (p &lt; 0.06); other values are not included in means.  Means are derived via a Fisher Z-Transformation.  Only Mode 1 &amp; 2 evaluations have feedback.</t>
  </si>
  <si>
    <t>Mean r (significant only, ALL only):</t>
  </si>
  <si>
    <t>Mean r (significant only, excl. ALL):</t>
  </si>
  <si>
    <t>Model label:</t>
  </si>
  <si>
    <t>Pearsonr For Eval Feedback - SOURCE DATA</t>
  </si>
  <si>
    <t>Percent of Classification Manual Agrees</t>
  </si>
  <si>
    <t>Cohen's Kappa For Manual Classification Agreement</t>
  </si>
  <si>
    <t>This table shows Cohen's Kappa for agreement between UD-ML classifications and manual classifications performed by the study participant.  This is a measure of how correctly the UD-ML models classify items as it compares the ML decision with the human decision.  This data only includes items for which the participant-entered classification values during the training phase of the study.  It is consolidated across all personas - some models feature in more than one persona study, as indicated in the '#' column.  The ALL column is caluclated as a mean of the individual persona values.  The ALL row was calculated separately for each persona; it is not a mean of the individual model values.</t>
  </si>
  <si>
    <t>This table shows the percentage agreement between UD-ML classifications and manual classifications performed by the study participant.  This is a measure of how correctly the UD-ML models classify items as it compares the ML decision with the human decision.  This data only includes items for which the participant-entered classification values during the training phase of the study.  It is consolidated across all personas - some models feature in more than one persona study, as indicated in the '#' column.  The ALL column is caluclated as a mean of the individual persona values.</t>
  </si>
  <si>
    <t>To be exported as separate PDF files</t>
  </si>
</sst>
</file>

<file path=xl/styles.xml><?xml version="1.0" encoding="utf-8"?>
<styleSheet xmlns="http://schemas.openxmlformats.org/spreadsheetml/2006/main">
  <numFmts count="5">
    <numFmt numFmtId="164" formatCode="0.0%"/>
    <numFmt numFmtId="165" formatCode="\+0.0;\-0.0;0"/>
    <numFmt numFmtId="166" formatCode="0.000"/>
    <numFmt numFmtId="167" formatCode="\+0.00;\-0.00;0"/>
    <numFmt numFmtId="168" formatCode="0.000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</font>
    <font>
      <sz val="10"/>
      <color theme="1"/>
      <name val="Courier New"/>
      <family val="3"/>
    </font>
    <font>
      <i/>
      <sz val="9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8"/>
      <color theme="1" tint="0.34998626667073579"/>
      <name val="Courier New"/>
      <family val="3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 tint="0.34998626667073579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3" fillId="0" borderId="0" xfId="0" applyFont="1" applyAlignment="1"/>
    <xf numFmtId="0" fontId="0" fillId="0" borderId="0" xfId="0" applyAlignment="1"/>
    <xf numFmtId="0" fontId="0" fillId="0" borderId="0" xfId="0" applyAlignment="1">
      <alignment horizontal="right"/>
    </xf>
    <xf numFmtId="165" fontId="5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6" fontId="0" fillId="0" borderId="0" xfId="0" applyNumberFormat="1" applyAlignment="1"/>
    <xf numFmtId="166" fontId="0" fillId="0" borderId="0" xfId="0" applyNumberForma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/>
    <xf numFmtId="167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8" fontId="0" fillId="0" borderId="0" xfId="0" applyNumberFormat="1" applyAlignment="1"/>
    <xf numFmtId="168" fontId="0" fillId="0" borderId="0" xfId="0" applyNumberFormat="1"/>
    <xf numFmtId="166" fontId="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6" fontId="10" fillId="0" borderId="0" xfId="0" applyNumberFormat="1" applyFont="1" applyAlignment="1">
      <alignment horizontal="center"/>
    </xf>
    <xf numFmtId="168" fontId="10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167" fontId="12" fillId="0" borderId="0" xfId="0" applyNumberFormat="1" applyFont="1" applyAlignment="1">
      <alignment vertical="center"/>
    </xf>
    <xf numFmtId="167" fontId="13" fillId="0" borderId="0" xfId="0" applyNumberFormat="1" applyFont="1" applyBorder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7" fontId="12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vertical="center"/>
    </xf>
    <xf numFmtId="166" fontId="0" fillId="0" borderId="0" xfId="0" applyNumberFormat="1" applyAlignment="1">
      <alignment vertical="center"/>
    </xf>
    <xf numFmtId="168" fontId="0" fillId="0" borderId="0" xfId="0" applyNumberFormat="1" applyAlignment="1">
      <alignment vertical="center"/>
    </xf>
    <xf numFmtId="0" fontId="9" fillId="0" borderId="0" xfId="0" applyFont="1" applyAlignment="1">
      <alignment vertical="center"/>
    </xf>
    <xf numFmtId="166" fontId="1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9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right" vertical="center"/>
    </xf>
    <xf numFmtId="168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horizontal="right" vertical="center"/>
    </xf>
    <xf numFmtId="168" fontId="1" fillId="0" borderId="0" xfId="0" applyNumberFormat="1" applyFont="1" applyAlignment="1">
      <alignment horizontal="right" vertical="center"/>
    </xf>
    <xf numFmtId="166" fontId="6" fillId="0" borderId="0" xfId="0" applyNumberFormat="1" applyFont="1" applyAlignment="1">
      <alignment horizontal="right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67" fontId="12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2" fontId="6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/>
    <xf numFmtId="166" fontId="16" fillId="0" borderId="0" xfId="0" applyNumberFormat="1" applyFont="1" applyBorder="1" applyAlignment="1">
      <alignment horizontal="center"/>
    </xf>
    <xf numFmtId="166" fontId="16" fillId="0" borderId="0" xfId="0" applyNumberFormat="1" applyFont="1" applyBorder="1" applyAlignment="1">
      <alignment horizontal="center"/>
    </xf>
    <xf numFmtId="167" fontId="16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0" borderId="0" xfId="0" applyNumberFormat="1" applyFont="1" applyAlignment="1"/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vertical="center"/>
    </xf>
    <xf numFmtId="49" fontId="9" fillId="0" borderId="0" xfId="0" applyNumberFormat="1" applyFont="1" applyAlignment="1">
      <alignment vertical="center"/>
    </xf>
    <xf numFmtId="49" fontId="0" fillId="0" borderId="0" xfId="0" applyNumberFormat="1"/>
    <xf numFmtId="166" fontId="10" fillId="0" borderId="1" xfId="0" applyNumberFormat="1" applyFont="1" applyBorder="1" applyAlignment="1">
      <alignment horizontal="center"/>
    </xf>
    <xf numFmtId="2" fontId="17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NumberFormat="1" applyFont="1" applyAlignment="1">
      <alignment horizontal="left" vertical="top" wrapText="1"/>
    </xf>
    <xf numFmtId="0" fontId="18" fillId="0" borderId="0" xfId="0" applyNumberFormat="1" applyFont="1" applyAlignment="1">
      <alignment vertical="top" wrapText="1"/>
    </xf>
    <xf numFmtId="49" fontId="2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cat>
            <c:strRef>
              <c:f>'POCMA TS'!$A$6:$A$12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'POCMA TS'!$Y$6:$Y$12</c:f>
              <c:numCache>
                <c:formatCode>0.0%</c:formatCode>
                <c:ptCount val="7"/>
                <c:pt idx="0">
                  <c:v>0.90715456034953579</c:v>
                </c:pt>
                <c:pt idx="1">
                  <c:v>0.91616208663251053</c:v>
                </c:pt>
                <c:pt idx="2">
                  <c:v>0.93290841999329088</c:v>
                </c:pt>
                <c:pt idx="3">
                  <c:v>0.94847528916929547</c:v>
                </c:pt>
                <c:pt idx="4">
                  <c:v>0.93675417661097848</c:v>
                </c:pt>
                <c:pt idx="5">
                  <c:v>0.94495884773662553</c:v>
                </c:pt>
                <c:pt idx="6">
                  <c:v>0.952947539210384</c:v>
                </c:pt>
              </c:numCache>
            </c:numRef>
          </c:val>
        </c:ser>
        <c:axId val="86149376"/>
        <c:axId val="86153472"/>
      </c:barChart>
      <c:catAx>
        <c:axId val="86149376"/>
        <c:scaling>
          <c:orientation val="minMax"/>
        </c:scaling>
        <c:axPos val="b"/>
        <c:tickLblPos val="nextTo"/>
        <c:crossAx val="86153472"/>
        <c:crosses val="autoZero"/>
        <c:auto val="1"/>
        <c:lblAlgn val="ctr"/>
        <c:lblOffset val="100"/>
      </c:catAx>
      <c:valAx>
        <c:axId val="86153472"/>
        <c:scaling>
          <c:orientation val="minMax"/>
        </c:scaling>
        <c:axPos val="l"/>
        <c:majorGridlines/>
        <c:numFmt formatCode="0.0%" sourceLinked="1"/>
        <c:tickLblPos val="nextTo"/>
        <c:crossAx val="8614937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title>
      <c:tx>
        <c:rich>
          <a:bodyPr/>
          <a:lstStyle/>
          <a:p>
            <a:pPr algn="l">
              <a:defRPr/>
            </a:pPr>
            <a:r>
              <a:rPr lang="en-GB">
                <a:solidFill>
                  <a:schemeClr val="tx1">
                    <a:lumMod val="75000"/>
                    <a:lumOff val="25000"/>
                  </a:schemeClr>
                </a:solidFill>
              </a:rPr>
              <a:t>Evaluation Feedback Correlation</a:t>
            </a:r>
          </a:p>
          <a:p>
            <a:pPr algn="l">
              <a:defRPr/>
            </a:pPr>
            <a:r>
              <a:rPr lang="en-GB" sz="1400"/>
              <a:t>Percentage of significant items by</a:t>
            </a:r>
            <a:r>
              <a:rPr lang="en-GB" sz="1400" baseline="0"/>
              <a:t> tag</a:t>
            </a:r>
            <a:endParaRPr lang="en-GB" sz="1400"/>
          </a:p>
        </c:rich>
      </c:tx>
      <c:layout>
        <c:manualLayout>
          <c:xMode val="edge"/>
          <c:yMode val="edge"/>
          <c:x val="7.7694732794747756E-2"/>
          <c:y val="6.2829193642543121E-2"/>
        </c:manualLayout>
      </c:layout>
      <c:overlay val="1"/>
    </c:title>
    <c:plotArea>
      <c:layout/>
      <c:barChart>
        <c:barDir val="col"/>
        <c:grouping val="clustered"/>
        <c:ser>
          <c:idx val="0"/>
          <c:order val="0"/>
          <c:dLbls>
            <c:dLbl>
              <c:idx val="1"/>
              <c:layout>
                <c:manualLayout>
                  <c:x val="3.6691018267791266E-3"/>
                  <c:y val="-1.8456611577062233E-2"/>
                </c:manualLayout>
              </c:layout>
              <c:showVal val="1"/>
            </c:dLbl>
            <c:dLbl>
              <c:idx val="3"/>
              <c:layout>
                <c:manualLayout>
                  <c:x val="0"/>
                  <c:y val="-1.5970158606610101E-2"/>
                </c:manualLayout>
              </c:layout>
              <c:showVal val="1"/>
            </c:dLbl>
            <c:dLbl>
              <c:idx val="5"/>
              <c:layout>
                <c:manualLayout>
                  <c:x val="2.4473813020068551E-3"/>
                  <c:y val="4.1761579347000775E-2"/>
                </c:manualLayout>
              </c:layout>
              <c:spPr/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Val val="1"/>
            </c:dLbl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Val val="1"/>
          </c:dLbls>
          <c:cat>
            <c:strRef>
              <c:f>('PFEF SRC'!$C$66,'PFEF SRC'!$H$66,'PFEF SRC'!$M$66,'PFEF SRC'!$R$66,'PFEF SRC'!$W$66,'PFEF SRC'!$AB$66)</c:f>
              <c:strCache>
                <c:ptCount val="6"/>
                <c:pt idx="0">
                  <c:v>V-M1-A</c:v>
                </c:pt>
                <c:pt idx="1">
                  <c:v>V-M1-B</c:v>
                </c:pt>
                <c:pt idx="2">
                  <c:v>V-M2</c:v>
                </c:pt>
                <c:pt idx="3">
                  <c:v>B-M2</c:v>
                </c:pt>
                <c:pt idx="4">
                  <c:v>V4-M2</c:v>
                </c:pt>
                <c:pt idx="5">
                  <c:v>V4o-M2</c:v>
                </c:pt>
              </c:strCache>
            </c:strRef>
          </c:cat>
          <c:val>
            <c:numRef>
              <c:f>('PFEF SRC'!$F$58,'PFEF SRC'!$K$58,'PFEF SRC'!$P$58,'PFEF SRC'!$U$58,'PFEF SRC'!$Z$58,'PFEF SRC'!$AE$58)</c:f>
              <c:numCache>
                <c:formatCode>0%</c:formatCode>
                <c:ptCount val="6"/>
                <c:pt idx="0">
                  <c:v>0.5</c:v>
                </c:pt>
                <c:pt idx="1">
                  <c:v>0.5714285714285714</c:v>
                </c:pt>
                <c:pt idx="2">
                  <c:v>7.1428571428571425E-2</c:v>
                </c:pt>
                <c:pt idx="3">
                  <c:v>0.5714285714285714</c:v>
                </c:pt>
                <c:pt idx="4">
                  <c:v>0.8928571428571429</c:v>
                </c:pt>
                <c:pt idx="5">
                  <c:v>1</c:v>
                </c:pt>
              </c:numCache>
            </c:numRef>
          </c:val>
        </c:ser>
        <c:gapWidth val="55"/>
        <c:overlap val="-7"/>
        <c:axId val="197486080"/>
        <c:axId val="197513600"/>
      </c:barChart>
      <c:catAx>
        <c:axId val="197486080"/>
        <c:scaling>
          <c:orientation val="minMax"/>
        </c:scaling>
        <c:axPos val="b"/>
        <c:tickLblPos val="nextTo"/>
        <c:crossAx val="197513600"/>
        <c:crosses val="autoZero"/>
        <c:auto val="1"/>
        <c:lblAlgn val="ctr"/>
        <c:lblOffset val="100"/>
      </c:catAx>
      <c:valAx>
        <c:axId val="197513600"/>
        <c:scaling>
          <c:orientation val="minMax"/>
          <c:max val="1"/>
          <c:min val="0"/>
        </c:scaling>
        <c:axPos val="l"/>
        <c:majorGridlines/>
        <c:numFmt formatCode="0%" sourceLinked="1"/>
        <c:tickLblPos val="nextTo"/>
        <c:crossAx val="197486080"/>
        <c:crosses val="autoZero"/>
        <c:crossBetween val="between"/>
        <c:majorUnit val="0.2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title>
      <c:tx>
        <c:rich>
          <a:bodyPr/>
          <a:lstStyle/>
          <a:p>
            <a:pPr algn="l">
              <a:defRPr/>
            </a:pPr>
            <a:r>
              <a:rPr lang="en-GB">
                <a:solidFill>
                  <a:schemeClr val="tx1">
                    <a:lumMod val="75000"/>
                    <a:lumOff val="25000"/>
                  </a:schemeClr>
                </a:solidFill>
              </a:rPr>
              <a:t>Evaluation Feedback Correlation</a:t>
            </a:r>
          </a:p>
          <a:p>
            <a:pPr algn="l">
              <a:defRPr/>
            </a:pPr>
            <a:r>
              <a:rPr lang="en-GB" sz="1400"/>
              <a:t>Mean correlation coefficient by</a:t>
            </a:r>
            <a:r>
              <a:rPr lang="en-GB" sz="1400" baseline="0"/>
              <a:t> tag</a:t>
            </a:r>
            <a:endParaRPr lang="en-GB" sz="1400"/>
          </a:p>
        </c:rich>
      </c:tx>
      <c:layout>
        <c:manualLayout>
          <c:xMode val="edge"/>
          <c:yMode val="edge"/>
          <c:x val="8.4968705834847572E-2"/>
          <c:y val="8.1002603333119941E-2"/>
        </c:manualLayout>
      </c:layout>
      <c:overlay val="1"/>
    </c:title>
    <c:plotArea>
      <c:layout/>
      <c:barChart>
        <c:barDir val="col"/>
        <c:grouping val="clustered"/>
        <c:ser>
          <c:idx val="0"/>
          <c:order val="0"/>
          <c:dLbls>
            <c:dLbl>
              <c:idx val="2"/>
              <c:layout>
                <c:manualLayout>
                  <c:x val="-5.0124939268941718E-17"/>
                  <c:y val="1.007856122795619E-2"/>
                </c:manualLayout>
              </c:layout>
              <c:spPr/>
              <c:txPr>
                <a:bodyPr/>
                <a:lstStyle/>
                <a:p>
                  <a:pPr>
                    <a:defRPr sz="1100" b="1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outEnd"/>
              <c:showVal val="1"/>
            </c:dLbl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Val val="1"/>
          </c:dLbls>
          <c:cat>
            <c:strRef>
              <c:f>('PFEF SRC'!$C$66,'PFEF SRC'!$H$66,'PFEF SRC'!$M$66,'PFEF SRC'!$R$66,'PFEF SRC'!$W$66,'PFEF SRC'!$AB$66)</c:f>
              <c:strCache>
                <c:ptCount val="6"/>
                <c:pt idx="0">
                  <c:v>V-M1-A</c:v>
                </c:pt>
                <c:pt idx="1">
                  <c:v>V-M1-B</c:v>
                </c:pt>
                <c:pt idx="2">
                  <c:v>V-M2</c:v>
                </c:pt>
                <c:pt idx="3">
                  <c:v>B-M2</c:v>
                </c:pt>
                <c:pt idx="4">
                  <c:v>V4-M2</c:v>
                </c:pt>
                <c:pt idx="5">
                  <c:v>V4o-M2</c:v>
                </c:pt>
              </c:strCache>
            </c:strRef>
          </c:cat>
          <c:val>
            <c:numRef>
              <c:f>('PFEF SRC'!$E$63,'PFEF SRC'!$J$63,'PFEF SRC'!$O$62,'PFEF SRC'!$T$63,'PFEF SRC'!$Y$63,'PFEF SRC'!$AD$63)</c:f>
              <c:numCache>
                <c:formatCode>0.000</c:formatCode>
                <c:ptCount val="6"/>
                <c:pt idx="0">
                  <c:v>0.24909032857502619</c:v>
                </c:pt>
                <c:pt idx="1">
                  <c:v>0.15749692179554636</c:v>
                </c:pt>
                <c:pt idx="2">
                  <c:v>1.4161530114617136E-2</c:v>
                </c:pt>
                <c:pt idx="3">
                  <c:v>0.3340138509032014</c:v>
                </c:pt>
                <c:pt idx="4">
                  <c:v>0.70789843032834299</c:v>
                </c:pt>
                <c:pt idx="5">
                  <c:v>0.70659317575962244</c:v>
                </c:pt>
              </c:numCache>
            </c:numRef>
          </c:val>
        </c:ser>
        <c:gapWidth val="55"/>
        <c:overlap val="-7"/>
        <c:axId val="199905664"/>
        <c:axId val="233279488"/>
      </c:barChart>
      <c:catAx>
        <c:axId val="199905664"/>
        <c:scaling>
          <c:orientation val="minMax"/>
        </c:scaling>
        <c:axPos val="b"/>
        <c:tickLblPos val="nextTo"/>
        <c:crossAx val="233279488"/>
        <c:crosses val="autoZero"/>
        <c:auto val="1"/>
        <c:lblAlgn val="ctr"/>
        <c:lblOffset val="100"/>
      </c:catAx>
      <c:valAx>
        <c:axId val="233279488"/>
        <c:scaling>
          <c:orientation val="minMax"/>
          <c:max val="0.8"/>
          <c:min val="0"/>
        </c:scaling>
        <c:axPos val="l"/>
        <c:majorGridlines/>
        <c:numFmt formatCode="0.000" sourceLinked="1"/>
        <c:tickLblPos val="nextTo"/>
        <c:crossAx val="199905664"/>
        <c:crosses val="autoZero"/>
        <c:crossBetween val="between"/>
        <c:majorUnit val="0.2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title>
      <c:tx>
        <c:rich>
          <a:bodyPr/>
          <a:lstStyle/>
          <a:p>
            <a:pPr algn="l">
              <a:defRPr/>
            </a:pPr>
            <a:r>
              <a:rPr lang="en-GB" sz="1600">
                <a:solidFill>
                  <a:schemeClr val="tx1">
                    <a:lumMod val="75000"/>
                    <a:lumOff val="25000"/>
                  </a:schemeClr>
                </a:solidFill>
              </a:rPr>
              <a:t>Evaluation Feedback Correlation</a:t>
            </a:r>
          </a:p>
          <a:p>
            <a:pPr algn="l">
              <a:defRPr/>
            </a:pPr>
            <a:r>
              <a:rPr lang="en-GB" sz="1400"/>
              <a:t>Persona: Susan</a:t>
            </a:r>
          </a:p>
        </c:rich>
      </c:tx>
      <c:layout>
        <c:manualLayout>
          <c:xMode val="edge"/>
          <c:yMode val="edge"/>
          <c:x val="8.1357293772731293E-2"/>
          <c:y val="6.3365921852361104E-2"/>
        </c:manualLayout>
      </c:layout>
      <c:overlay val="1"/>
    </c:title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Val val="1"/>
          </c:dLbls>
          <c:cat>
            <c:strRef>
              <c:f>'PFEF T'!$B$7:$B$15</c:f>
              <c:strCache>
                <c:ptCount val="9"/>
                <c:pt idx="0">
                  <c:v>ALL</c:v>
                </c:pt>
                <c:pt idx="1">
                  <c:v>interested</c:v>
                </c:pt>
                <c:pt idx="2">
                  <c:v>tennis</c:v>
                </c:pt>
                <c:pt idx="3">
                  <c:v>tennis-arrangements</c:v>
                </c:pt>
                <c:pt idx="4">
                  <c:v>tennis-organising</c:v>
                </c:pt>
                <c:pt idx="5">
                  <c:v>urgency</c:v>
                </c:pt>
                <c:pt idx="6">
                  <c:v>work-logistics</c:v>
                </c:pt>
                <c:pt idx="7">
                  <c:v>work-pers</c:v>
                </c:pt>
                <c:pt idx="8">
                  <c:v>work-relevant</c:v>
                </c:pt>
              </c:strCache>
            </c:strRef>
          </c:cat>
          <c:val>
            <c:numRef>
              <c:f>'PFEF T'!$U$7:$U$15</c:f>
              <c:numCache>
                <c:formatCode>0.00</c:formatCode>
                <c:ptCount val="9"/>
                <c:pt idx="0">
                  <c:v>0.37723877925437943</c:v>
                </c:pt>
                <c:pt idx="1">
                  <c:v>0.50416661987288003</c:v>
                </c:pt>
                <c:pt idx="2">
                  <c:v>0.58385827500163889</c:v>
                </c:pt>
                <c:pt idx="3">
                  <c:v>0.29386188653629097</c:v>
                </c:pt>
                <c:pt idx="4">
                  <c:v>0.57928848262966048</c:v>
                </c:pt>
                <c:pt idx="5">
                  <c:v>0.57149971405294531</c:v>
                </c:pt>
                <c:pt idx="6">
                  <c:v>0.73538675494728178</c:v>
                </c:pt>
                <c:pt idx="7">
                  <c:v>0.67835317926251881</c:v>
                </c:pt>
                <c:pt idx="8">
                  <c:v>0.45285214433040366</c:v>
                </c:pt>
              </c:numCache>
            </c:numRef>
          </c:val>
        </c:ser>
        <c:gapWidth val="55"/>
        <c:overlap val="-7"/>
        <c:axId val="156320896"/>
        <c:axId val="157820416"/>
      </c:barChart>
      <c:catAx>
        <c:axId val="156320896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Courier New" pitchFamily="49" charset="0"/>
                <a:cs typeface="Courier New" pitchFamily="49" charset="0"/>
              </a:defRPr>
            </a:pPr>
            <a:endParaRPr lang="en-US"/>
          </a:p>
        </c:txPr>
        <c:crossAx val="157820416"/>
        <c:crosses val="autoZero"/>
        <c:auto val="1"/>
        <c:lblAlgn val="ctr"/>
        <c:lblOffset val="100"/>
      </c:catAx>
      <c:valAx>
        <c:axId val="157820416"/>
        <c:scaling>
          <c:orientation val="minMax"/>
          <c:max val="0.8"/>
          <c:min val="0"/>
        </c:scaling>
        <c:axPos val="l"/>
        <c:majorGridlines/>
        <c:numFmt formatCode="0.00" sourceLinked="1"/>
        <c:tickLblPos val="nextTo"/>
        <c:crossAx val="156320896"/>
        <c:crosses val="autoZero"/>
        <c:crossBetween val="between"/>
        <c:majorUnit val="0.2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title>
      <c:tx>
        <c:rich>
          <a:bodyPr/>
          <a:lstStyle/>
          <a:p>
            <a:pPr algn="l">
              <a:defRPr/>
            </a:pPr>
            <a:r>
              <a:rPr lang="en-GB" sz="1600">
                <a:solidFill>
                  <a:schemeClr val="tx1">
                    <a:lumMod val="75000"/>
                    <a:lumOff val="25000"/>
                  </a:schemeClr>
                </a:solidFill>
              </a:rPr>
              <a:t>Evaluation Feedback Correlation</a:t>
            </a:r>
          </a:p>
          <a:p>
            <a:pPr algn="l">
              <a:defRPr/>
            </a:pPr>
            <a:r>
              <a:rPr lang="en-GB" sz="1400"/>
              <a:t>Persona: Adam</a:t>
            </a:r>
          </a:p>
        </c:rich>
      </c:tx>
      <c:layout>
        <c:manualLayout>
          <c:xMode val="edge"/>
          <c:yMode val="edge"/>
          <c:x val="7.2328763617440589E-2"/>
          <c:y val="0.14567044860133224"/>
        </c:manualLayout>
      </c:layout>
      <c:overlay val="1"/>
    </c:title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Val val="1"/>
          </c:dLbls>
          <c:cat>
            <c:strRef>
              <c:f>'PFEF T'!$B$17:$B$27</c:f>
              <c:strCache>
                <c:ptCount val="11"/>
                <c:pt idx="0">
                  <c:v>ALL</c:v>
                </c:pt>
                <c:pt idx="1">
                  <c:v>cycling</c:v>
                </c:pt>
                <c:pt idx="2">
                  <c:v>cycling-logistics</c:v>
                </c:pt>
                <c:pt idx="3">
                  <c:v>interested</c:v>
                </c:pt>
                <c:pt idx="4">
                  <c:v>pers-urgency</c:v>
                </c:pt>
                <c:pt idx="5">
                  <c:v>tech</c:v>
                </c:pt>
                <c:pt idx="6">
                  <c:v>urgency</c:v>
                </c:pt>
                <c:pt idx="7">
                  <c:v>work-logistics</c:v>
                </c:pt>
                <c:pt idx="8">
                  <c:v>work-pers</c:v>
                </c:pt>
                <c:pt idx="9">
                  <c:v>work-relevant</c:v>
                </c:pt>
                <c:pt idx="10">
                  <c:v>work-urgency</c:v>
                </c:pt>
              </c:strCache>
            </c:strRef>
          </c:cat>
          <c:val>
            <c:numRef>
              <c:f>'PFEF T'!$U$17:$U$27</c:f>
              <c:numCache>
                <c:formatCode>0.00</c:formatCode>
                <c:ptCount val="11"/>
                <c:pt idx="0">
                  <c:v>0.46495179620614374</c:v>
                </c:pt>
                <c:pt idx="1">
                  <c:v>0.56593078194151891</c:v>
                </c:pt>
                <c:pt idx="2">
                  <c:v>0.5489157279674618</c:v>
                </c:pt>
                <c:pt idx="3">
                  <c:v>0.56859043354025474</c:v>
                </c:pt>
                <c:pt idx="4">
                  <c:v>0.47105431504973305</c:v>
                </c:pt>
                <c:pt idx="5">
                  <c:v>0.84210436957215262</c:v>
                </c:pt>
                <c:pt idx="6">
                  <c:v>0.44993228036549332</c:v>
                </c:pt>
                <c:pt idx="7">
                  <c:v>0.66375452423408499</c:v>
                </c:pt>
                <c:pt idx="8">
                  <c:v>0.54618084521107901</c:v>
                </c:pt>
                <c:pt idx="9">
                  <c:v>0.69917271110420942</c:v>
                </c:pt>
                <c:pt idx="10">
                  <c:v>0.90351657879496705</c:v>
                </c:pt>
              </c:numCache>
            </c:numRef>
          </c:val>
        </c:ser>
        <c:gapWidth val="55"/>
        <c:overlap val="-7"/>
        <c:axId val="157845376"/>
        <c:axId val="186913536"/>
      </c:barChart>
      <c:catAx>
        <c:axId val="157845376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Courier New" pitchFamily="49" charset="0"/>
                <a:cs typeface="Courier New" pitchFamily="49" charset="0"/>
              </a:defRPr>
            </a:pPr>
            <a:endParaRPr lang="en-US"/>
          </a:p>
        </c:txPr>
        <c:crossAx val="186913536"/>
        <c:crosses val="autoZero"/>
        <c:auto val="1"/>
        <c:lblAlgn val="ctr"/>
        <c:lblOffset val="100"/>
      </c:catAx>
      <c:valAx>
        <c:axId val="186913536"/>
        <c:scaling>
          <c:orientation val="minMax"/>
          <c:max val="0.92"/>
          <c:min val="0"/>
        </c:scaling>
        <c:axPos val="l"/>
        <c:majorGridlines/>
        <c:numFmt formatCode="0.00" sourceLinked="1"/>
        <c:tickLblPos val="nextTo"/>
        <c:crossAx val="157845376"/>
        <c:crosses val="autoZero"/>
        <c:crossBetween val="between"/>
        <c:majorUnit val="0.2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title>
      <c:tx>
        <c:rich>
          <a:bodyPr/>
          <a:lstStyle/>
          <a:p>
            <a:pPr algn="l">
              <a:defRPr/>
            </a:pPr>
            <a:r>
              <a:rPr lang="en-GB" sz="1600">
                <a:solidFill>
                  <a:schemeClr val="tx1">
                    <a:lumMod val="75000"/>
                    <a:lumOff val="25000"/>
                  </a:schemeClr>
                </a:solidFill>
              </a:rPr>
              <a:t>Evaluation Feedback Correlation</a:t>
            </a:r>
          </a:p>
          <a:p>
            <a:pPr algn="l">
              <a:defRPr/>
            </a:pPr>
            <a:r>
              <a:rPr lang="en-GB" sz="1400"/>
              <a:t>Persona: Kenton</a:t>
            </a:r>
          </a:p>
        </c:rich>
      </c:tx>
      <c:layout>
        <c:manualLayout>
          <c:xMode val="edge"/>
          <c:yMode val="edge"/>
          <c:x val="8.1357293772731293E-2"/>
          <c:y val="6.3365921852361132E-2"/>
        </c:manualLayout>
      </c:layout>
      <c:overlay val="1"/>
    </c:title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Val val="1"/>
          </c:dLbls>
          <c:cat>
            <c:strRef>
              <c:f>'PFEF T'!$B$37:$B$44</c:f>
              <c:strCache>
                <c:ptCount val="8"/>
                <c:pt idx="0">
                  <c:v>ALL</c:v>
                </c:pt>
                <c:pt idx="1">
                  <c:v>football</c:v>
                </c:pt>
                <c:pt idx="2">
                  <c:v>golf</c:v>
                </c:pt>
                <c:pt idx="3">
                  <c:v>golf-logistics</c:v>
                </c:pt>
                <c:pt idx="4">
                  <c:v>interested</c:v>
                </c:pt>
                <c:pt idx="5">
                  <c:v>urgency</c:v>
                </c:pt>
                <c:pt idx="6">
                  <c:v>work-logistics</c:v>
                </c:pt>
                <c:pt idx="7">
                  <c:v>work-pers</c:v>
                </c:pt>
              </c:strCache>
            </c:strRef>
          </c:cat>
          <c:val>
            <c:numRef>
              <c:f>'PFEF T'!$U$37:$U$44</c:f>
              <c:numCache>
                <c:formatCode>0.00</c:formatCode>
                <c:ptCount val="8"/>
                <c:pt idx="0">
                  <c:v>0.54686470785001706</c:v>
                </c:pt>
                <c:pt idx="1">
                  <c:v>0.57421189944602402</c:v>
                </c:pt>
                <c:pt idx="2">
                  <c:v>0.40154144939131065</c:v>
                </c:pt>
                <c:pt idx="3">
                  <c:v>0.33738525381119577</c:v>
                </c:pt>
                <c:pt idx="4">
                  <c:v>0.66263072659092348</c:v>
                </c:pt>
                <c:pt idx="5">
                  <c:v>0.59522305648830176</c:v>
                </c:pt>
                <c:pt idx="6">
                  <c:v>0.70873065043159866</c:v>
                </c:pt>
                <c:pt idx="7">
                  <c:v>0.7668710823346665</c:v>
                </c:pt>
              </c:numCache>
            </c:numRef>
          </c:val>
        </c:ser>
        <c:gapWidth val="55"/>
        <c:overlap val="-7"/>
        <c:axId val="210626816"/>
        <c:axId val="210767232"/>
      </c:barChart>
      <c:catAx>
        <c:axId val="210626816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Courier New" pitchFamily="49" charset="0"/>
                <a:cs typeface="Courier New" pitchFamily="49" charset="0"/>
              </a:defRPr>
            </a:pPr>
            <a:endParaRPr lang="en-US"/>
          </a:p>
        </c:txPr>
        <c:crossAx val="210767232"/>
        <c:crosses val="autoZero"/>
        <c:auto val="1"/>
        <c:lblAlgn val="ctr"/>
        <c:lblOffset val="100"/>
      </c:catAx>
      <c:valAx>
        <c:axId val="210767232"/>
        <c:scaling>
          <c:orientation val="minMax"/>
          <c:max val="0.8"/>
          <c:min val="0"/>
        </c:scaling>
        <c:axPos val="l"/>
        <c:majorGridlines/>
        <c:numFmt formatCode="0.00" sourceLinked="1"/>
        <c:tickLblPos val="nextTo"/>
        <c:crossAx val="210626816"/>
        <c:crosses val="autoZero"/>
        <c:crossBetween val="between"/>
        <c:majorUnit val="0.2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title>
      <c:tx>
        <c:rich>
          <a:bodyPr/>
          <a:lstStyle/>
          <a:p>
            <a:pPr algn="l">
              <a:defRPr/>
            </a:pPr>
            <a:r>
              <a:rPr lang="en-GB" sz="1600">
                <a:solidFill>
                  <a:schemeClr val="tx1">
                    <a:lumMod val="75000"/>
                    <a:lumOff val="25000"/>
                  </a:schemeClr>
                </a:solidFill>
              </a:rPr>
              <a:t>Evaluation Feedback Correlation</a:t>
            </a:r>
          </a:p>
          <a:p>
            <a:pPr algn="l">
              <a:defRPr/>
            </a:pPr>
            <a:r>
              <a:rPr lang="en-GB" sz="1400"/>
              <a:t>Persona: Phoebe</a:t>
            </a:r>
          </a:p>
        </c:rich>
      </c:tx>
      <c:layout>
        <c:manualLayout>
          <c:xMode val="edge"/>
          <c:yMode val="edge"/>
          <c:x val="8.1357293772731293E-2"/>
          <c:y val="6.3365921852361132E-2"/>
        </c:manualLayout>
      </c:layout>
      <c:overlay val="1"/>
    </c:title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Val val="1"/>
          </c:dLbls>
          <c:cat>
            <c:strRef>
              <c:f>'PFEF T'!$B$29:$B$35</c:f>
              <c:strCache>
                <c:ptCount val="7"/>
                <c:pt idx="0">
                  <c:v>ALL</c:v>
                </c:pt>
                <c:pt idx="1">
                  <c:v>friend-group</c:v>
                </c:pt>
                <c:pt idx="2">
                  <c:v>personal-interested</c:v>
                </c:pt>
                <c:pt idx="3">
                  <c:v>urgency</c:v>
                </c:pt>
                <c:pt idx="4">
                  <c:v>work-logistics</c:v>
                </c:pt>
                <c:pt idx="5">
                  <c:v>work-pers</c:v>
                </c:pt>
                <c:pt idx="6">
                  <c:v>work-relevant</c:v>
                </c:pt>
              </c:strCache>
            </c:strRef>
          </c:cat>
          <c:val>
            <c:numRef>
              <c:f>'PFEF T'!$U$29:$U$35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gapWidth val="55"/>
        <c:overlap val="-7"/>
        <c:axId val="241135616"/>
        <c:axId val="241260416"/>
      </c:barChart>
      <c:catAx>
        <c:axId val="241135616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Courier New" pitchFamily="49" charset="0"/>
                <a:cs typeface="Courier New" pitchFamily="49" charset="0"/>
              </a:defRPr>
            </a:pPr>
            <a:endParaRPr lang="en-US"/>
          </a:p>
        </c:txPr>
        <c:crossAx val="241260416"/>
        <c:crosses val="autoZero"/>
        <c:auto val="1"/>
        <c:lblAlgn val="ctr"/>
        <c:lblOffset val="100"/>
      </c:catAx>
      <c:valAx>
        <c:axId val="241260416"/>
        <c:scaling>
          <c:orientation val="minMax"/>
          <c:max val="0.8"/>
          <c:min val="0"/>
        </c:scaling>
        <c:axPos val="l"/>
        <c:majorGridlines/>
        <c:numFmt formatCode="0.00" sourceLinked="1"/>
        <c:tickLblPos val="nextTo"/>
        <c:crossAx val="241135616"/>
        <c:crosses val="autoZero"/>
        <c:crossBetween val="between"/>
        <c:majorUnit val="0.2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title>
      <c:tx>
        <c:rich>
          <a:bodyPr/>
          <a:lstStyle/>
          <a:p>
            <a:pPr algn="l">
              <a:defRPr/>
            </a:pPr>
            <a:r>
              <a:rPr lang="en-GB" sz="1600">
                <a:solidFill>
                  <a:schemeClr val="tx1">
                    <a:lumMod val="75000"/>
                    <a:lumOff val="25000"/>
                  </a:schemeClr>
                </a:solidFill>
              </a:rPr>
              <a:t>Evaluation Feedback Correlation</a:t>
            </a:r>
          </a:p>
          <a:p>
            <a:pPr algn="l">
              <a:defRPr/>
            </a:pPr>
            <a:r>
              <a:rPr lang="en-GB" sz="1400"/>
              <a:t>Persona: Usha</a:t>
            </a:r>
          </a:p>
        </c:rich>
      </c:tx>
      <c:layout>
        <c:manualLayout>
          <c:xMode val="edge"/>
          <c:yMode val="edge"/>
          <c:x val="8.1357293772731293E-2"/>
          <c:y val="6.3365921852361173E-2"/>
        </c:manualLayout>
      </c:layout>
      <c:overlay val="1"/>
    </c:title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Val val="1"/>
          </c:dLbls>
          <c:cat>
            <c:strRef>
              <c:f>'PFEF T'!$B$46:$B$55</c:f>
              <c:strCache>
                <c:ptCount val="10"/>
                <c:pt idx="0">
                  <c:v>ALL</c:v>
                </c:pt>
                <c:pt idx="1">
                  <c:v>company-law</c:v>
                </c:pt>
                <c:pt idx="2">
                  <c:v>interested</c:v>
                </c:pt>
                <c:pt idx="3">
                  <c:v>riding</c:v>
                </c:pt>
                <c:pt idx="4">
                  <c:v>riding-arrangements</c:v>
                </c:pt>
                <c:pt idx="5">
                  <c:v>school-importance</c:v>
                </c:pt>
                <c:pt idx="6">
                  <c:v>urgency</c:v>
                </c:pt>
                <c:pt idx="7">
                  <c:v>work-logistics</c:v>
                </c:pt>
                <c:pt idx="8">
                  <c:v>work-pers</c:v>
                </c:pt>
                <c:pt idx="9">
                  <c:v>work-relevant</c:v>
                </c:pt>
              </c:strCache>
            </c:strRef>
          </c:cat>
          <c:val>
            <c:numRef>
              <c:f>'PFEF T'!$U$46:$U$55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55"/>
        <c:overlap val="-7"/>
        <c:axId val="247947264"/>
        <c:axId val="240074752"/>
      </c:barChart>
      <c:catAx>
        <c:axId val="247947264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Courier New" pitchFamily="49" charset="0"/>
                <a:cs typeface="Courier New" pitchFamily="49" charset="0"/>
              </a:defRPr>
            </a:pPr>
            <a:endParaRPr lang="en-US"/>
          </a:p>
        </c:txPr>
        <c:crossAx val="240074752"/>
        <c:crosses val="autoZero"/>
        <c:auto val="1"/>
        <c:lblAlgn val="ctr"/>
        <c:lblOffset val="100"/>
      </c:catAx>
      <c:valAx>
        <c:axId val="240074752"/>
        <c:scaling>
          <c:orientation val="minMax"/>
          <c:max val="0.8"/>
          <c:min val="0"/>
        </c:scaling>
        <c:axPos val="l"/>
        <c:majorGridlines/>
        <c:numFmt formatCode="0.00" sourceLinked="1"/>
        <c:tickLblPos val="nextTo"/>
        <c:crossAx val="247947264"/>
        <c:crosses val="autoZero"/>
        <c:crossBetween val="between"/>
        <c:majorUnit val="0.2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14</xdr:row>
      <xdr:rowOff>30480</xdr:rowOff>
    </xdr:from>
    <xdr:to>
      <xdr:col>11</xdr:col>
      <xdr:colOff>121920</xdr:colOff>
      <xdr:row>29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7620</xdr:rowOff>
    </xdr:from>
    <xdr:to>
      <xdr:col>15</xdr:col>
      <xdr:colOff>160020</xdr:colOff>
      <xdr:row>24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25</xdr:row>
      <xdr:rowOff>129540</xdr:rowOff>
    </xdr:from>
    <xdr:to>
      <xdr:col>15</xdr:col>
      <xdr:colOff>160020</xdr:colOff>
      <xdr:row>46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426720</xdr:colOff>
      <xdr:row>4</xdr:row>
      <xdr:rowOff>15240</xdr:rowOff>
    </xdr:from>
    <xdr:to>
      <xdr:col>29</xdr:col>
      <xdr:colOff>556260</xdr:colOff>
      <xdr:row>27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182880</xdr:colOff>
      <xdr:row>4</xdr:row>
      <xdr:rowOff>22860</xdr:rowOff>
    </xdr:from>
    <xdr:to>
      <xdr:col>41</xdr:col>
      <xdr:colOff>510540</xdr:colOff>
      <xdr:row>27</xdr:row>
      <xdr:rowOff>137160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213360</xdr:colOff>
      <xdr:row>29</xdr:row>
      <xdr:rowOff>121920</xdr:rowOff>
    </xdr:from>
    <xdr:to>
      <xdr:col>41</xdr:col>
      <xdr:colOff>541020</xdr:colOff>
      <xdr:row>55</xdr:row>
      <xdr:rowOff>53340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381000</xdr:colOff>
      <xdr:row>29</xdr:row>
      <xdr:rowOff>114300</xdr:rowOff>
    </xdr:from>
    <xdr:to>
      <xdr:col>29</xdr:col>
      <xdr:colOff>510540</xdr:colOff>
      <xdr:row>55</xdr:row>
      <xdr:rowOff>45720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30480</xdr:colOff>
      <xdr:row>47</xdr:row>
      <xdr:rowOff>152400</xdr:rowOff>
    </xdr:from>
    <xdr:to>
      <xdr:col>15</xdr:col>
      <xdr:colOff>175260</xdr:colOff>
      <xdr:row>73</xdr:row>
      <xdr:rowOff>83820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34"/>
  <sheetViews>
    <sheetView workbookViewId="0">
      <selection activeCell="N38" sqref="N38"/>
    </sheetView>
  </sheetViews>
  <sheetFormatPr defaultRowHeight="14.4"/>
  <cols>
    <col min="1" max="1" width="23.109375" style="29" customWidth="1"/>
    <col min="2" max="2" width="3.5546875" style="2" customWidth="1"/>
    <col min="3" max="3" width="1.44140625" customWidth="1"/>
    <col min="4" max="5" width="8.21875" style="5" customWidth="1"/>
    <col min="6" max="6" width="8.21875" style="8" customWidth="1"/>
    <col min="7" max="7" width="1.44140625" customWidth="1"/>
    <col min="8" max="9" width="8.21875" style="5" customWidth="1"/>
    <col min="10" max="10" width="8.21875" style="8" customWidth="1"/>
    <col min="11" max="11" width="1.44140625" customWidth="1"/>
    <col min="12" max="13" width="8.21875" style="5" customWidth="1"/>
    <col min="14" max="14" width="8.21875" style="8" customWidth="1"/>
    <col min="15" max="15" width="1.44140625" style="2" customWidth="1"/>
    <col min="16" max="17" width="8.21875" style="5" customWidth="1"/>
    <col min="18" max="18" width="8.21875" style="8" customWidth="1"/>
    <col min="19" max="19" width="1.44140625" style="2" customWidth="1"/>
    <col min="20" max="21" width="8.21875" style="5" customWidth="1"/>
    <col min="22" max="22" width="8.21875" style="8" customWidth="1"/>
    <col min="23" max="23" width="1.44140625" customWidth="1"/>
    <col min="24" max="25" width="8.21875" style="5" customWidth="1"/>
    <col min="26" max="26" width="8.21875" style="8" customWidth="1"/>
    <col min="27" max="27" width="4.33203125" style="16" customWidth="1"/>
    <col min="28" max="28" width="1.109375" customWidth="1"/>
    <col min="29" max="29" width="4.6640625" style="30" customWidth="1"/>
  </cols>
  <sheetData>
    <row r="1" spans="1:29" ht="18">
      <c r="A1" s="44" t="s">
        <v>116</v>
      </c>
      <c r="B1" s="14"/>
      <c r="C1" s="14"/>
      <c r="D1" s="14"/>
      <c r="E1" s="14"/>
    </row>
    <row r="2" spans="1:29" s="17" customFormat="1" ht="9" customHeight="1">
      <c r="A2" s="26"/>
      <c r="B2" s="19"/>
      <c r="D2" s="20"/>
      <c r="E2" s="20"/>
      <c r="F2" s="21"/>
      <c r="H2" s="20"/>
      <c r="I2" s="20"/>
      <c r="J2" s="21"/>
      <c r="L2" s="20"/>
      <c r="M2" s="20"/>
      <c r="N2" s="21"/>
      <c r="O2" s="19"/>
      <c r="P2" s="20"/>
      <c r="Q2" s="20"/>
      <c r="R2" s="21"/>
      <c r="S2" s="19"/>
      <c r="T2" s="20"/>
      <c r="U2" s="20"/>
      <c r="V2" s="21"/>
      <c r="X2" s="20"/>
      <c r="Y2" s="20"/>
      <c r="Z2" s="21"/>
      <c r="AA2" s="16"/>
      <c r="AC2" s="30"/>
    </row>
    <row r="3" spans="1:29" ht="52.2" customHeight="1">
      <c r="A3" s="96" t="s">
        <v>119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</row>
    <row r="4" spans="1:29" s="17" customFormat="1">
      <c r="A4" s="26"/>
      <c r="B4" s="19"/>
      <c r="D4" s="51" t="s">
        <v>25</v>
      </c>
      <c r="E4" s="51"/>
      <c r="F4" s="51"/>
      <c r="H4" s="51" t="s">
        <v>27</v>
      </c>
      <c r="I4" s="51"/>
      <c r="J4" s="51"/>
      <c r="L4" s="51" t="s">
        <v>69</v>
      </c>
      <c r="M4" s="51"/>
      <c r="N4" s="51"/>
      <c r="O4" s="19"/>
      <c r="P4" s="51" t="s">
        <v>28</v>
      </c>
      <c r="Q4" s="51"/>
      <c r="R4" s="51"/>
      <c r="S4" s="19"/>
      <c r="T4" s="51" t="s">
        <v>70</v>
      </c>
      <c r="U4" s="51"/>
      <c r="V4" s="51"/>
      <c r="X4" s="51" t="s">
        <v>10</v>
      </c>
      <c r="Y4" s="51"/>
      <c r="Z4" s="51"/>
      <c r="AA4" s="16"/>
      <c r="AC4" s="30"/>
    </row>
    <row r="5" spans="1:29" s="22" customFormat="1">
      <c r="A5" s="27" t="s">
        <v>66</v>
      </c>
      <c r="B5" s="23" t="s">
        <v>64</v>
      </c>
      <c r="D5" s="24" t="s">
        <v>23</v>
      </c>
      <c r="E5" s="24" t="s">
        <v>26</v>
      </c>
      <c r="F5" s="25" t="s">
        <v>24</v>
      </c>
      <c r="H5" s="24" t="s">
        <v>23</v>
      </c>
      <c r="I5" s="24" t="s">
        <v>26</v>
      </c>
      <c r="J5" s="25" t="s">
        <v>24</v>
      </c>
      <c r="L5" s="24" t="s">
        <v>23</v>
      </c>
      <c r="M5" s="24" t="s">
        <v>26</v>
      </c>
      <c r="N5" s="25" t="s">
        <v>24</v>
      </c>
      <c r="O5" s="23"/>
      <c r="P5" s="24" t="s">
        <v>23</v>
      </c>
      <c r="Q5" s="24" t="s">
        <v>26</v>
      </c>
      <c r="R5" s="25" t="s">
        <v>24</v>
      </c>
      <c r="S5" s="23"/>
      <c r="T5" s="24" t="s">
        <v>23</v>
      </c>
      <c r="U5" s="24" t="s">
        <v>26</v>
      </c>
      <c r="V5" s="25" t="s">
        <v>24</v>
      </c>
      <c r="X5" s="24" t="s">
        <v>23</v>
      </c>
      <c r="Y5" s="24" t="s">
        <v>26</v>
      </c>
      <c r="Z5" s="25" t="s">
        <v>24</v>
      </c>
      <c r="AA5" s="16"/>
      <c r="AC5" s="31"/>
    </row>
    <row r="6" spans="1:29" s="22" customFormat="1" ht="6" customHeight="1">
      <c r="A6" s="27"/>
      <c r="B6" s="23"/>
      <c r="D6" s="24"/>
      <c r="E6" s="24"/>
      <c r="F6" s="25"/>
      <c r="H6" s="24"/>
      <c r="I6" s="24"/>
      <c r="J6" s="25"/>
      <c r="O6" s="23"/>
      <c r="P6" s="24"/>
      <c r="Q6" s="24"/>
      <c r="R6" s="25"/>
      <c r="S6" s="23"/>
      <c r="T6" s="24"/>
      <c r="U6" s="24"/>
      <c r="V6" s="25"/>
      <c r="X6" s="24"/>
      <c r="Y6" s="24"/>
      <c r="Z6" s="25"/>
      <c r="AA6" s="16"/>
      <c r="AC6" s="31"/>
    </row>
    <row r="7" spans="1:29" s="17" customFormat="1">
      <c r="A7" s="17" t="s">
        <v>10</v>
      </c>
      <c r="B7" s="19"/>
      <c r="D7" s="20">
        <v>4025</v>
      </c>
      <c r="E7" s="20">
        <v>3648</v>
      </c>
      <c r="F7" s="21">
        <f>E7/D7</f>
        <v>0.90633540372670807</v>
      </c>
      <c r="H7" s="20">
        <v>12021</v>
      </c>
      <c r="I7" s="20">
        <v>11344</v>
      </c>
      <c r="J7" s="21">
        <f>I7/H7</f>
        <v>0.94368189002578817</v>
      </c>
      <c r="O7" s="19"/>
      <c r="P7" s="19">
        <v>964</v>
      </c>
      <c r="Q7" s="19">
        <v>908</v>
      </c>
      <c r="R7" s="21">
        <f>Q7/P7</f>
        <v>0.94190871369294604</v>
      </c>
      <c r="S7" s="19"/>
      <c r="T7" s="20"/>
      <c r="U7" s="20"/>
      <c r="V7" s="21"/>
      <c r="X7" s="20">
        <f>D7+H7+P7</f>
        <v>17010</v>
      </c>
      <c r="Y7" s="20">
        <f>E7+I7+Q7</f>
        <v>15900</v>
      </c>
      <c r="Z7" s="21">
        <f>Y7/X7</f>
        <v>0.93474426807760136</v>
      </c>
      <c r="AA7" s="16"/>
      <c r="AC7" s="30" t="s">
        <v>10</v>
      </c>
    </row>
    <row r="8" spans="1:29" s="17" customFormat="1" ht="6" customHeight="1">
      <c r="B8" s="19"/>
      <c r="D8" s="20"/>
      <c r="E8" s="20"/>
      <c r="F8" s="21"/>
      <c r="H8" s="20"/>
      <c r="I8" s="20"/>
      <c r="J8" s="21"/>
      <c r="O8" s="19"/>
      <c r="P8" s="20"/>
      <c r="Q8" s="20"/>
      <c r="R8" s="21"/>
      <c r="S8" s="19"/>
      <c r="T8" s="20"/>
      <c r="U8" s="20"/>
      <c r="V8" s="21"/>
      <c r="X8" s="20"/>
      <c r="Y8" s="20"/>
      <c r="Z8" s="21"/>
      <c r="AA8" s="16"/>
      <c r="AC8" s="30"/>
    </row>
    <row r="9" spans="1:29" s="17" customFormat="1">
      <c r="A9" s="18" t="s">
        <v>5</v>
      </c>
      <c r="B9" s="19">
        <v>5</v>
      </c>
      <c r="D9" s="20">
        <v>503</v>
      </c>
      <c r="E9" s="20">
        <v>499</v>
      </c>
      <c r="F9" s="21">
        <f t="shared" ref="F9:F29" si="0">E9/D9</f>
        <v>0.99204771371769385</v>
      </c>
      <c r="H9" s="20">
        <v>1277</v>
      </c>
      <c r="I9" s="20">
        <v>1259</v>
      </c>
      <c r="J9" s="21">
        <f t="shared" ref="J9:J30" si="1">I9/H9</f>
        <v>0.98590446358653094</v>
      </c>
      <c r="O9" s="19"/>
      <c r="P9" s="19">
        <v>135</v>
      </c>
      <c r="Q9" s="19">
        <v>133</v>
      </c>
      <c r="R9" s="21">
        <f t="shared" ref="R9:R20" si="2">Q9/P9</f>
        <v>0.98518518518518516</v>
      </c>
      <c r="S9" s="19"/>
      <c r="T9" s="20"/>
      <c r="U9" s="20"/>
      <c r="V9" s="21"/>
      <c r="X9" s="20">
        <f t="shared" ref="X9:X20" si="3">D9+H9+P9</f>
        <v>1915</v>
      </c>
      <c r="Y9" s="20">
        <f t="shared" ref="Y9:Y20" si="4">E9+I9+Q9</f>
        <v>1891</v>
      </c>
      <c r="Z9" s="21">
        <f t="shared" ref="Z9:Z13" si="5">Y9/X9</f>
        <v>0.98746736292428194</v>
      </c>
      <c r="AA9" s="16">
        <f>100*(Z9-ALLALL_PERC)</f>
        <v>5.2723094846680585</v>
      </c>
      <c r="AC9" s="32" t="s">
        <v>58</v>
      </c>
    </row>
    <row r="10" spans="1:29" s="17" customFormat="1">
      <c r="A10" s="18" t="s">
        <v>6</v>
      </c>
      <c r="B10" s="19">
        <v>5</v>
      </c>
      <c r="D10" s="20">
        <v>503</v>
      </c>
      <c r="E10" s="20">
        <v>482</v>
      </c>
      <c r="F10" s="21">
        <f t="shared" si="0"/>
        <v>0.95825049701789267</v>
      </c>
      <c r="H10" s="20">
        <v>1277</v>
      </c>
      <c r="I10" s="20">
        <v>1250</v>
      </c>
      <c r="J10" s="21">
        <f t="shared" si="1"/>
        <v>0.97885669537979636</v>
      </c>
      <c r="O10" s="19"/>
      <c r="P10" s="19">
        <v>135</v>
      </c>
      <c r="Q10" s="19">
        <v>131</v>
      </c>
      <c r="R10" s="21">
        <f t="shared" si="2"/>
        <v>0.97037037037037033</v>
      </c>
      <c r="S10" s="19"/>
      <c r="T10" s="20"/>
      <c r="U10" s="20"/>
      <c r="V10" s="21"/>
      <c r="X10" s="20">
        <f t="shared" si="3"/>
        <v>1915</v>
      </c>
      <c r="Y10" s="20">
        <f t="shared" si="4"/>
        <v>1863</v>
      </c>
      <c r="Z10" s="21">
        <f t="shared" si="5"/>
        <v>0.97284595300261101</v>
      </c>
      <c r="AA10" s="16">
        <f>100*(Z10-ALLALL_PERC)</f>
        <v>3.8101684925009649</v>
      </c>
      <c r="AC10" s="32" t="s">
        <v>43</v>
      </c>
    </row>
    <row r="11" spans="1:29" s="17" customFormat="1">
      <c r="A11" s="18" t="s">
        <v>7</v>
      </c>
      <c r="B11" s="19">
        <v>5</v>
      </c>
      <c r="D11" s="20">
        <v>503</v>
      </c>
      <c r="E11" s="20">
        <v>423</v>
      </c>
      <c r="F11" s="21">
        <f t="shared" si="0"/>
        <v>0.84095427435387671</v>
      </c>
      <c r="H11" s="20">
        <v>1277</v>
      </c>
      <c r="I11" s="20">
        <v>1210</v>
      </c>
      <c r="J11" s="21">
        <f t="shared" si="1"/>
        <v>0.9475332811276429</v>
      </c>
      <c r="O11" s="19"/>
      <c r="P11" s="19">
        <v>135</v>
      </c>
      <c r="Q11" s="19">
        <v>121</v>
      </c>
      <c r="R11" s="21">
        <f t="shared" si="2"/>
        <v>0.89629629629629626</v>
      </c>
      <c r="S11" s="19"/>
      <c r="T11" s="20"/>
      <c r="U11" s="20"/>
      <c r="V11" s="21"/>
      <c r="X11" s="20">
        <f t="shared" si="3"/>
        <v>1915</v>
      </c>
      <c r="Y11" s="20">
        <f t="shared" si="4"/>
        <v>1754</v>
      </c>
      <c r="Z11" s="21">
        <f t="shared" si="5"/>
        <v>0.91592689295039165</v>
      </c>
      <c r="AA11" s="16">
        <f>100*(Z11-ALLALL_PERC)</f>
        <v>-1.8817375127209712</v>
      </c>
      <c r="AC11" s="32" t="s">
        <v>44</v>
      </c>
    </row>
    <row r="12" spans="1:29" s="17" customFormat="1">
      <c r="A12" s="18" t="s">
        <v>2</v>
      </c>
      <c r="B12" s="19">
        <v>4</v>
      </c>
      <c r="D12" s="20">
        <v>504</v>
      </c>
      <c r="E12" s="20">
        <v>361</v>
      </c>
      <c r="F12" s="21">
        <f t="shared" si="0"/>
        <v>0.71626984126984128</v>
      </c>
      <c r="H12" s="20">
        <v>1277</v>
      </c>
      <c r="I12" s="20">
        <v>1186</v>
      </c>
      <c r="J12" s="21">
        <f t="shared" si="1"/>
        <v>0.92873923257635083</v>
      </c>
      <c r="O12" s="19"/>
      <c r="P12" s="19">
        <v>136</v>
      </c>
      <c r="Q12" s="19">
        <v>122</v>
      </c>
      <c r="R12" s="21">
        <f t="shared" si="2"/>
        <v>0.8970588235294118</v>
      </c>
      <c r="S12" s="19"/>
      <c r="T12" s="20"/>
      <c r="U12" s="20"/>
      <c r="V12" s="21"/>
      <c r="X12" s="20">
        <f t="shared" si="3"/>
        <v>1917</v>
      </c>
      <c r="Y12" s="20">
        <f t="shared" si="4"/>
        <v>1669</v>
      </c>
      <c r="Z12" s="21">
        <f t="shared" si="5"/>
        <v>0.87063119457485649</v>
      </c>
      <c r="AA12" s="16">
        <f>100*(Z12-ALLALL_PERC)</f>
        <v>-6.4113073502744866</v>
      </c>
      <c r="AC12" s="32" t="s">
        <v>59</v>
      </c>
    </row>
    <row r="13" spans="1:29" s="17" customFormat="1">
      <c r="A13" s="18" t="s">
        <v>8</v>
      </c>
      <c r="B13" s="19">
        <v>4</v>
      </c>
      <c r="D13" s="20">
        <v>503</v>
      </c>
      <c r="E13" s="20">
        <v>462</v>
      </c>
      <c r="F13" s="21">
        <f t="shared" si="0"/>
        <v>0.91848906560636179</v>
      </c>
      <c r="H13" s="20">
        <v>1277</v>
      </c>
      <c r="I13" s="20">
        <v>1134</v>
      </c>
      <c r="J13" s="21">
        <f t="shared" si="1"/>
        <v>0.88801879404855133</v>
      </c>
      <c r="O13" s="19"/>
      <c r="P13" s="20"/>
      <c r="Q13" s="20"/>
      <c r="R13" s="21"/>
      <c r="S13" s="19"/>
      <c r="T13" s="20"/>
      <c r="U13" s="20"/>
      <c r="V13" s="21"/>
      <c r="X13" s="20">
        <f t="shared" si="3"/>
        <v>1780</v>
      </c>
      <c r="Y13" s="20">
        <f t="shared" si="4"/>
        <v>1596</v>
      </c>
      <c r="Z13" s="21">
        <f t="shared" si="5"/>
        <v>0.89662921348314606</v>
      </c>
      <c r="AA13" s="16">
        <f>100*(Z13-ALLALL_PERC)</f>
        <v>-3.81150545944553</v>
      </c>
      <c r="AC13" s="32" t="s">
        <v>45</v>
      </c>
    </row>
    <row r="14" spans="1:29" s="17" customFormat="1">
      <c r="A14" s="18" t="s">
        <v>20</v>
      </c>
      <c r="B14" s="19">
        <v>1</v>
      </c>
      <c r="D14" s="20"/>
      <c r="E14" s="20"/>
      <c r="F14" s="21"/>
      <c r="H14" s="20"/>
      <c r="I14" s="20"/>
      <c r="J14" s="21"/>
      <c r="O14" s="19"/>
      <c r="P14" s="20"/>
      <c r="Q14" s="20"/>
      <c r="R14" s="21"/>
      <c r="S14" s="19"/>
      <c r="T14" s="20"/>
      <c r="U14" s="20"/>
      <c r="V14" s="21"/>
      <c r="X14" s="20">
        <f t="shared" si="3"/>
        <v>0</v>
      </c>
      <c r="Y14" s="20">
        <f t="shared" si="4"/>
        <v>0</v>
      </c>
      <c r="Z14" s="21"/>
      <c r="AA14" s="16"/>
      <c r="AC14" s="32" t="s">
        <v>67</v>
      </c>
    </row>
    <row r="15" spans="1:29" s="17" customFormat="1">
      <c r="A15" s="18" t="s">
        <v>0</v>
      </c>
      <c r="B15" s="19">
        <v>1</v>
      </c>
      <c r="D15" s="20"/>
      <c r="E15" s="20"/>
      <c r="F15" s="21"/>
      <c r="H15" s="20">
        <v>1277</v>
      </c>
      <c r="I15" s="20">
        <v>1180</v>
      </c>
      <c r="J15" s="21">
        <f t="shared" si="1"/>
        <v>0.92404072043852781</v>
      </c>
      <c r="O15" s="19"/>
      <c r="P15" s="20"/>
      <c r="Q15" s="20"/>
      <c r="R15" s="21"/>
      <c r="S15" s="19"/>
      <c r="T15" s="20"/>
      <c r="U15" s="20"/>
      <c r="V15" s="21"/>
      <c r="X15" s="20">
        <f t="shared" si="3"/>
        <v>1277</v>
      </c>
      <c r="Y15" s="20">
        <f t="shared" si="4"/>
        <v>1180</v>
      </c>
      <c r="Z15" s="21">
        <f t="shared" ref="Z15:Z16" si="6">Y15/X15</f>
        <v>0.92404072043852781</v>
      </c>
      <c r="AA15" s="16">
        <f>100*(Z15-ALLALL_PERC)</f>
        <v>-1.0703547639073552</v>
      </c>
      <c r="AC15" s="32" t="s">
        <v>60</v>
      </c>
    </row>
    <row r="16" spans="1:29" s="17" customFormat="1">
      <c r="A16" s="18" t="s">
        <v>1</v>
      </c>
      <c r="B16" s="19">
        <v>1</v>
      </c>
      <c r="D16" s="20"/>
      <c r="E16" s="20"/>
      <c r="F16" s="21"/>
      <c r="H16" s="20">
        <v>529</v>
      </c>
      <c r="I16" s="20">
        <v>492</v>
      </c>
      <c r="J16" s="21">
        <f t="shared" si="1"/>
        <v>0.93005671077504726</v>
      </c>
      <c r="O16" s="19"/>
      <c r="P16" s="20"/>
      <c r="Q16" s="20"/>
      <c r="R16" s="21"/>
      <c r="S16" s="19"/>
      <c r="T16" s="20"/>
      <c r="U16" s="20"/>
      <c r="V16" s="21"/>
      <c r="X16" s="20">
        <f t="shared" si="3"/>
        <v>529</v>
      </c>
      <c r="Y16" s="20">
        <f t="shared" si="4"/>
        <v>492</v>
      </c>
      <c r="Z16" s="21">
        <f t="shared" si="6"/>
        <v>0.93005671077504726</v>
      </c>
      <c r="AA16" s="16">
        <f>100*(Z16-ALLALL_PERC)</f>
        <v>-0.46875573025541017</v>
      </c>
      <c r="AC16" s="32" t="s">
        <v>68</v>
      </c>
    </row>
    <row r="17" spans="1:29" s="17" customFormat="1">
      <c r="A17" s="18" t="s">
        <v>11</v>
      </c>
      <c r="B17" s="19">
        <v>1</v>
      </c>
      <c r="D17" s="20"/>
      <c r="E17" s="20"/>
      <c r="F17" s="21"/>
      <c r="H17" s="20"/>
      <c r="I17" s="20"/>
      <c r="J17" s="21"/>
      <c r="O17" s="19"/>
      <c r="P17" s="19">
        <v>141</v>
      </c>
      <c r="Q17" s="19">
        <v>127</v>
      </c>
      <c r="R17" s="21">
        <f t="shared" si="2"/>
        <v>0.900709219858156</v>
      </c>
      <c r="S17" s="19"/>
      <c r="T17" s="20"/>
      <c r="U17" s="20"/>
      <c r="V17" s="21"/>
      <c r="X17" s="20">
        <f t="shared" si="3"/>
        <v>141</v>
      </c>
      <c r="Y17" s="20">
        <f t="shared" si="4"/>
        <v>127</v>
      </c>
      <c r="Z17" s="21">
        <f t="shared" ref="Z17" si="7">Y17/X17</f>
        <v>0.900709219858156</v>
      </c>
      <c r="AA17" s="16">
        <f>100*(Z17-ALLALL_PERC)</f>
        <v>-3.4035048219445363</v>
      </c>
      <c r="AC17" s="32" t="s">
        <v>61</v>
      </c>
    </row>
    <row r="18" spans="1:29" s="17" customFormat="1">
      <c r="A18" s="18" t="s">
        <v>21</v>
      </c>
      <c r="B18" s="19">
        <v>1</v>
      </c>
      <c r="D18" s="20"/>
      <c r="E18" s="20"/>
      <c r="F18" s="21"/>
      <c r="H18" s="20"/>
      <c r="I18" s="20"/>
      <c r="J18" s="21"/>
      <c r="O18" s="19"/>
      <c r="P18" s="20"/>
      <c r="Q18" s="20"/>
      <c r="R18" s="21"/>
      <c r="S18" s="19"/>
      <c r="T18" s="20"/>
      <c r="U18" s="20"/>
      <c r="V18" s="21"/>
      <c r="X18" s="20">
        <f t="shared" si="3"/>
        <v>0</v>
      </c>
      <c r="Y18" s="20">
        <f t="shared" si="4"/>
        <v>0</v>
      </c>
      <c r="Z18" s="21"/>
      <c r="AA18" s="16"/>
      <c r="AC18" s="32" t="s">
        <v>46</v>
      </c>
    </row>
    <row r="19" spans="1:29" s="17" customFormat="1">
      <c r="A19" s="18" t="s">
        <v>12</v>
      </c>
      <c r="B19" s="19">
        <v>1</v>
      </c>
      <c r="D19" s="20"/>
      <c r="E19" s="20"/>
      <c r="F19" s="21"/>
      <c r="H19" s="20"/>
      <c r="I19" s="20"/>
      <c r="J19" s="21"/>
      <c r="O19" s="19"/>
      <c r="P19" s="19">
        <v>141</v>
      </c>
      <c r="Q19" s="19">
        <v>139</v>
      </c>
      <c r="R19" s="21">
        <f t="shared" si="2"/>
        <v>0.98581560283687941</v>
      </c>
      <c r="S19" s="19"/>
      <c r="T19" s="20"/>
      <c r="U19" s="20"/>
      <c r="V19" s="21"/>
      <c r="X19" s="20">
        <f t="shared" si="3"/>
        <v>141</v>
      </c>
      <c r="Y19" s="20">
        <f t="shared" si="4"/>
        <v>139</v>
      </c>
      <c r="Z19" s="21">
        <f t="shared" ref="Z19:Z21" si="8">Y19/X19</f>
        <v>0.98581560283687941</v>
      </c>
      <c r="AA19" s="16">
        <f>100*(Z19-ALLALL_PERC)</f>
        <v>5.1071334759278049</v>
      </c>
      <c r="AC19" s="32" t="s">
        <v>62</v>
      </c>
    </row>
    <row r="20" spans="1:29" s="17" customFormat="1">
      <c r="A20" s="18" t="s">
        <v>13</v>
      </c>
      <c r="B20" s="19">
        <v>1</v>
      </c>
      <c r="D20" s="20"/>
      <c r="E20" s="20"/>
      <c r="F20" s="21"/>
      <c r="H20" s="20"/>
      <c r="I20" s="20"/>
      <c r="J20" s="21"/>
      <c r="O20" s="19"/>
      <c r="P20" s="19">
        <v>141</v>
      </c>
      <c r="Q20" s="19">
        <v>135</v>
      </c>
      <c r="R20" s="21">
        <f t="shared" si="2"/>
        <v>0.95744680851063835</v>
      </c>
      <c r="S20" s="19"/>
      <c r="T20" s="20"/>
      <c r="U20" s="20"/>
      <c r="V20" s="21"/>
      <c r="X20" s="20">
        <f t="shared" si="3"/>
        <v>141</v>
      </c>
      <c r="Y20" s="20">
        <f t="shared" si="4"/>
        <v>135</v>
      </c>
      <c r="Z20" s="21">
        <f t="shared" si="8"/>
        <v>0.95744680851063835</v>
      </c>
      <c r="AA20" s="16">
        <f>100*(Z20-ALLALL_PERC)</f>
        <v>2.2702540433036988</v>
      </c>
      <c r="AC20" s="32" t="s">
        <v>47</v>
      </c>
    </row>
    <row r="21" spans="1:29" s="17" customFormat="1">
      <c r="A21" s="18" t="s">
        <v>3</v>
      </c>
      <c r="B21" s="19">
        <v>1</v>
      </c>
      <c r="D21" s="20"/>
      <c r="E21" s="20"/>
      <c r="F21" s="21"/>
      <c r="H21" s="20">
        <v>1276</v>
      </c>
      <c r="I21" s="20">
        <v>1208</v>
      </c>
      <c r="J21" s="21">
        <f t="shared" si="1"/>
        <v>0.94670846394984332</v>
      </c>
      <c r="L21" s="20"/>
      <c r="M21" s="20"/>
      <c r="N21" s="21"/>
      <c r="O21" s="19"/>
      <c r="P21" s="20"/>
      <c r="Q21" s="20"/>
      <c r="R21" s="21"/>
      <c r="S21" s="19"/>
      <c r="T21" s="20"/>
      <c r="U21" s="20"/>
      <c r="V21" s="21"/>
      <c r="X21" s="20">
        <f t="shared" ref="X21:X30" si="9">D21+H21+L21</f>
        <v>1276</v>
      </c>
      <c r="Y21" s="20">
        <f t="shared" ref="Y21:Y30" si="10">E21+I21+M21</f>
        <v>1208</v>
      </c>
      <c r="Z21" s="21">
        <f t="shared" si="8"/>
        <v>0.94670846394984332</v>
      </c>
      <c r="AA21" s="16">
        <f>100*(Z21-ALLALL_PERC)</f>
        <v>1.1964195872241956</v>
      </c>
      <c r="AC21" s="32" t="s">
        <v>48</v>
      </c>
    </row>
    <row r="22" spans="1:29" s="17" customFormat="1">
      <c r="A22" s="18" t="s">
        <v>22</v>
      </c>
      <c r="B22" s="19">
        <v>1</v>
      </c>
      <c r="D22" s="20"/>
      <c r="E22" s="20"/>
      <c r="F22" s="21"/>
      <c r="H22" s="20"/>
      <c r="I22" s="20"/>
      <c r="J22" s="21"/>
      <c r="L22" s="20"/>
      <c r="M22" s="20"/>
      <c r="N22" s="21"/>
      <c r="O22" s="19"/>
      <c r="P22" s="20"/>
      <c r="Q22" s="20"/>
      <c r="R22" s="21"/>
      <c r="S22" s="19"/>
      <c r="T22" s="20"/>
      <c r="U22" s="20"/>
      <c r="V22" s="21"/>
      <c r="X22" s="20">
        <f t="shared" si="9"/>
        <v>0</v>
      </c>
      <c r="Y22" s="20">
        <f t="shared" si="10"/>
        <v>0</v>
      </c>
      <c r="Z22" s="21"/>
      <c r="AA22" s="16"/>
      <c r="AC22" s="32" t="s">
        <v>49</v>
      </c>
    </row>
    <row r="23" spans="1:29" s="17" customFormat="1">
      <c r="A23" s="18" t="s">
        <v>17</v>
      </c>
      <c r="B23" s="19">
        <v>1</v>
      </c>
      <c r="D23" s="20"/>
      <c r="E23" s="20"/>
      <c r="F23" s="21"/>
      <c r="H23" s="20"/>
      <c r="I23" s="20"/>
      <c r="J23" s="21"/>
      <c r="L23" s="20"/>
      <c r="M23" s="20"/>
      <c r="N23" s="21"/>
      <c r="O23" s="19"/>
      <c r="P23" s="20"/>
      <c r="Q23" s="20"/>
      <c r="R23" s="21"/>
      <c r="S23" s="19"/>
      <c r="T23" s="20"/>
      <c r="U23" s="20"/>
      <c r="V23" s="21"/>
      <c r="X23" s="20">
        <f t="shared" si="9"/>
        <v>0</v>
      </c>
      <c r="Y23" s="20">
        <f t="shared" si="10"/>
        <v>0</v>
      </c>
      <c r="Z23" s="21"/>
      <c r="AA23" s="16"/>
      <c r="AC23" s="32" t="s">
        <v>63</v>
      </c>
    </row>
    <row r="24" spans="1:29" s="17" customFormat="1">
      <c r="A24" s="18" t="s">
        <v>18</v>
      </c>
      <c r="B24" s="19">
        <v>1</v>
      </c>
      <c r="D24" s="20"/>
      <c r="E24" s="20"/>
      <c r="F24" s="21"/>
      <c r="H24" s="20"/>
      <c r="I24" s="20"/>
      <c r="J24" s="21"/>
      <c r="L24" s="20"/>
      <c r="M24" s="20"/>
      <c r="N24" s="21"/>
      <c r="O24" s="19"/>
      <c r="P24" s="20"/>
      <c r="Q24" s="20"/>
      <c r="R24" s="21"/>
      <c r="S24" s="19"/>
      <c r="T24" s="20"/>
      <c r="U24" s="20"/>
      <c r="V24" s="21"/>
      <c r="X24" s="20">
        <f t="shared" si="9"/>
        <v>0</v>
      </c>
      <c r="Y24" s="20">
        <f t="shared" si="10"/>
        <v>0</v>
      </c>
      <c r="Z24" s="21"/>
      <c r="AA24" s="16"/>
      <c r="AC24" s="32" t="s">
        <v>51</v>
      </c>
    </row>
    <row r="25" spans="1:29" s="17" customFormat="1">
      <c r="A25" s="18" t="s">
        <v>19</v>
      </c>
      <c r="B25" s="19">
        <v>1</v>
      </c>
      <c r="D25" s="20"/>
      <c r="E25" s="20"/>
      <c r="F25" s="21"/>
      <c r="H25" s="20"/>
      <c r="I25" s="20"/>
      <c r="J25" s="21"/>
      <c r="L25" s="20"/>
      <c r="M25" s="20"/>
      <c r="N25" s="21"/>
      <c r="O25" s="19"/>
      <c r="P25" s="20"/>
      <c r="Q25" s="20"/>
      <c r="R25" s="21"/>
      <c r="S25" s="19"/>
      <c r="T25" s="20"/>
      <c r="U25" s="20"/>
      <c r="V25" s="21"/>
      <c r="X25" s="20">
        <f t="shared" si="9"/>
        <v>0</v>
      </c>
      <c r="Y25" s="20">
        <f t="shared" si="10"/>
        <v>0</v>
      </c>
      <c r="Z25" s="21"/>
      <c r="AA25" s="16"/>
      <c r="AC25" s="32" t="s">
        <v>52</v>
      </c>
    </row>
    <row r="26" spans="1:29" s="17" customFormat="1">
      <c r="A26" s="18" t="s">
        <v>4</v>
      </c>
      <c r="B26" s="19">
        <v>1</v>
      </c>
      <c r="D26" s="20"/>
      <c r="E26" s="20"/>
      <c r="F26" s="21"/>
      <c r="H26" s="20">
        <v>1277</v>
      </c>
      <c r="I26" s="20">
        <v>1225</v>
      </c>
      <c r="J26" s="21">
        <f t="shared" si="1"/>
        <v>0.9592795614722005</v>
      </c>
      <c r="L26" s="20"/>
      <c r="M26" s="20"/>
      <c r="N26" s="21"/>
      <c r="O26" s="19"/>
      <c r="P26" s="20"/>
      <c r="Q26" s="20"/>
      <c r="R26" s="21"/>
      <c r="S26" s="19"/>
      <c r="T26" s="20"/>
      <c r="U26" s="20"/>
      <c r="V26" s="21"/>
      <c r="X26" s="20">
        <f t="shared" si="9"/>
        <v>1277</v>
      </c>
      <c r="Y26" s="20">
        <f t="shared" si="10"/>
        <v>1225</v>
      </c>
      <c r="Z26" s="21">
        <f t="shared" ref="Z26:Z29" si="11">Y26/X26</f>
        <v>0.9592795614722005</v>
      </c>
      <c r="AA26" s="16">
        <f>100*(Z26-ALLALL_PERC)</f>
        <v>2.4535293394599145</v>
      </c>
      <c r="AC26" s="32" t="s">
        <v>53</v>
      </c>
    </row>
    <row r="27" spans="1:29" s="17" customFormat="1">
      <c r="A27" s="18" t="s">
        <v>14</v>
      </c>
      <c r="B27" s="19">
        <v>1</v>
      </c>
      <c r="D27" s="20">
        <v>503</v>
      </c>
      <c r="E27" s="20">
        <v>445</v>
      </c>
      <c r="F27" s="21">
        <f t="shared" si="0"/>
        <v>0.88469184890656061</v>
      </c>
      <c r="H27" s="20"/>
      <c r="I27" s="20"/>
      <c r="J27" s="21"/>
      <c r="L27" s="20"/>
      <c r="M27" s="20"/>
      <c r="N27" s="21"/>
      <c r="O27" s="19"/>
      <c r="P27" s="20"/>
      <c r="Q27" s="20"/>
      <c r="R27" s="21"/>
      <c r="S27" s="19"/>
      <c r="T27" s="20"/>
      <c r="U27" s="20"/>
      <c r="V27" s="21"/>
      <c r="X27" s="20">
        <f t="shared" si="9"/>
        <v>503</v>
      </c>
      <c r="Y27" s="20">
        <f t="shared" si="10"/>
        <v>445</v>
      </c>
      <c r="Z27" s="21">
        <f t="shared" si="11"/>
        <v>0.88469184890656061</v>
      </c>
      <c r="AA27" s="16">
        <f>100*(Z27-ALLALL_PERC)</f>
        <v>-5.0052419171040752</v>
      </c>
      <c r="AC27" s="32" t="s">
        <v>54</v>
      </c>
    </row>
    <row r="28" spans="1:29" s="17" customFormat="1">
      <c r="A28" s="18" t="s">
        <v>15</v>
      </c>
      <c r="B28" s="19">
        <v>1</v>
      </c>
      <c r="D28" s="20">
        <v>503</v>
      </c>
      <c r="E28" s="20">
        <v>490</v>
      </c>
      <c r="F28" s="21">
        <f t="shared" si="0"/>
        <v>0.97415506958250497</v>
      </c>
      <c r="H28" s="20"/>
      <c r="I28" s="20"/>
      <c r="J28" s="21"/>
      <c r="L28" s="20"/>
      <c r="M28" s="20"/>
      <c r="N28" s="21"/>
      <c r="O28" s="19"/>
      <c r="P28" s="20"/>
      <c r="Q28" s="20"/>
      <c r="R28" s="21"/>
      <c r="S28" s="19"/>
      <c r="T28" s="20"/>
      <c r="U28" s="20"/>
      <c r="V28" s="21"/>
      <c r="X28" s="20">
        <f t="shared" si="9"/>
        <v>503</v>
      </c>
      <c r="Y28" s="20">
        <f t="shared" si="10"/>
        <v>490</v>
      </c>
      <c r="Z28" s="21">
        <f t="shared" si="11"/>
        <v>0.97415506958250497</v>
      </c>
      <c r="AA28" s="16">
        <f>100*(Z28-ALLALL_PERC)</f>
        <v>3.9410801504903614</v>
      </c>
      <c r="AC28" s="32" t="s">
        <v>55</v>
      </c>
    </row>
    <row r="29" spans="1:29" s="17" customFormat="1">
      <c r="A29" s="18" t="s">
        <v>16</v>
      </c>
      <c r="B29" s="19">
        <v>1</v>
      </c>
      <c r="D29" s="20">
        <v>503</v>
      </c>
      <c r="E29" s="20">
        <v>486</v>
      </c>
      <c r="F29" s="21">
        <f t="shared" si="0"/>
        <v>0.96620278330019882</v>
      </c>
      <c r="H29" s="20"/>
      <c r="I29" s="20"/>
      <c r="J29" s="21"/>
      <c r="L29" s="20"/>
      <c r="M29" s="20"/>
      <c r="N29" s="21"/>
      <c r="O29" s="19"/>
      <c r="P29" s="20"/>
      <c r="Q29" s="20"/>
      <c r="R29" s="21"/>
      <c r="S29" s="19"/>
      <c r="T29" s="20"/>
      <c r="U29" s="20"/>
      <c r="V29" s="21"/>
      <c r="X29" s="20">
        <f t="shared" si="9"/>
        <v>503</v>
      </c>
      <c r="Y29" s="20">
        <f t="shared" si="10"/>
        <v>486</v>
      </c>
      <c r="Z29" s="21">
        <f t="shared" si="11"/>
        <v>0.96620278330019882</v>
      </c>
      <c r="AA29" s="16">
        <f>100*(Z29-ALLALL_PERC)</f>
        <v>3.1458515222597461</v>
      </c>
      <c r="AC29" s="32" t="s">
        <v>56</v>
      </c>
    </row>
    <row r="30" spans="1:29" s="17" customFormat="1">
      <c r="A30" s="18" t="s">
        <v>9</v>
      </c>
      <c r="B30" s="19">
        <v>1</v>
      </c>
      <c r="D30" s="20"/>
      <c r="E30" s="20"/>
      <c r="F30" s="21"/>
      <c r="H30" s="20">
        <v>1277</v>
      </c>
      <c r="I30" s="20">
        <v>1200</v>
      </c>
      <c r="J30" s="21">
        <f t="shared" si="1"/>
        <v>0.93970242756460454</v>
      </c>
      <c r="L30" s="20"/>
      <c r="M30" s="20"/>
      <c r="N30" s="21"/>
      <c r="O30" s="19"/>
      <c r="P30" s="20"/>
      <c r="Q30" s="20"/>
      <c r="R30" s="21"/>
      <c r="S30" s="19"/>
      <c r="T30" s="20"/>
      <c r="U30" s="20"/>
      <c r="V30" s="21"/>
      <c r="X30" s="20">
        <f t="shared" si="9"/>
        <v>1277</v>
      </c>
      <c r="Y30" s="20">
        <f t="shared" si="10"/>
        <v>1200</v>
      </c>
      <c r="Z30" s="21">
        <f t="shared" ref="Z30" si="12">Y30/X30</f>
        <v>0.93970242756460454</v>
      </c>
      <c r="AA30" s="16">
        <f>100*(Z30-ALLALL_PERC)</f>
        <v>0.49581594870031775</v>
      </c>
      <c r="AC30" s="32" t="s">
        <v>57</v>
      </c>
    </row>
    <row r="32" spans="1:29">
      <c r="A32" s="28" t="s">
        <v>29</v>
      </c>
      <c r="B32" t="s">
        <v>30</v>
      </c>
      <c r="D32"/>
      <c r="E32"/>
      <c r="F32"/>
      <c r="H32"/>
      <c r="I32"/>
      <c r="J32"/>
      <c r="L32" s="2"/>
      <c r="M32" s="2"/>
      <c r="N32" s="2"/>
      <c r="P32" s="2"/>
      <c r="Q32" s="2"/>
      <c r="R32" s="2"/>
      <c r="T32" s="2"/>
      <c r="U32" s="2"/>
      <c r="V32" s="2"/>
      <c r="X32"/>
      <c r="Y32"/>
      <c r="Z32"/>
    </row>
    <row r="33" spans="1:26">
      <c r="A33" s="28" t="s">
        <v>31</v>
      </c>
      <c r="B33" t="s">
        <v>32</v>
      </c>
      <c r="D33"/>
      <c r="E33"/>
      <c r="F33"/>
      <c r="H33"/>
      <c r="I33"/>
      <c r="J33"/>
      <c r="L33" s="2"/>
      <c r="M33" s="2"/>
      <c r="N33" s="2"/>
      <c r="P33" s="2"/>
      <c r="Q33" s="2"/>
      <c r="R33" s="2"/>
      <c r="T33" s="2"/>
      <c r="U33" s="2"/>
      <c r="V33" s="2"/>
      <c r="X33"/>
      <c r="Y33"/>
      <c r="Z33"/>
    </row>
    <row r="34" spans="1:26">
      <c r="A34" s="28" t="s">
        <v>33</v>
      </c>
      <c r="B34" t="s">
        <v>34</v>
      </c>
      <c r="D34"/>
      <c r="E34"/>
      <c r="F34"/>
      <c r="H34"/>
      <c r="I34"/>
      <c r="J34"/>
      <c r="L34" s="2"/>
      <c r="M34" s="2"/>
      <c r="N34" s="2"/>
      <c r="P34" s="2"/>
      <c r="Q34" s="2"/>
      <c r="R34" s="2"/>
      <c r="T34" s="2"/>
      <c r="U34" s="2"/>
      <c r="V34" s="2"/>
      <c r="X34"/>
      <c r="Y34"/>
      <c r="Z34"/>
    </row>
  </sheetData>
  <mergeCells count="7">
    <mergeCell ref="A3:AC3"/>
    <mergeCell ref="D4:F4"/>
    <mergeCell ref="H4:J4"/>
    <mergeCell ref="P4:R4"/>
    <mergeCell ref="X4:Z4"/>
    <mergeCell ref="L4:N4"/>
    <mergeCell ref="T4:V4"/>
  </mergeCells>
  <pageMargins left="0.25" right="0.25" top="0.75" bottom="0.75" header="0.3" footer="0.3"/>
  <pageSetup paperSize="9" scale="73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49"/>
  <sheetViews>
    <sheetView workbookViewId="0">
      <selection activeCell="V13" sqref="V13"/>
    </sheetView>
  </sheetViews>
  <sheetFormatPr defaultRowHeight="14.4"/>
  <cols>
    <col min="1" max="1" width="23.109375" style="29" customWidth="1"/>
    <col min="2" max="2" width="3.5546875" style="2" customWidth="1"/>
    <col min="3" max="3" width="1.44140625" customWidth="1"/>
    <col min="4" max="4" width="8.21875" style="36" customWidth="1"/>
    <col min="5" max="5" width="1.44140625" customWidth="1"/>
    <col min="6" max="6" width="8.21875" style="36" customWidth="1"/>
    <col min="7" max="7" width="1.44140625" customWidth="1"/>
    <col min="8" max="8" width="8.21875" style="36" customWidth="1"/>
    <col min="9" max="9" width="1.44140625" style="2" customWidth="1"/>
    <col min="10" max="10" width="8.21875" style="36" customWidth="1"/>
    <col min="11" max="11" width="1.44140625" style="2" customWidth="1"/>
    <col min="12" max="12" width="8.21875" style="36" customWidth="1"/>
    <col min="13" max="13" width="1.44140625" customWidth="1"/>
    <col min="14" max="14" width="8.21875" style="38" customWidth="1"/>
    <col min="15" max="15" width="5.77734375" style="42" customWidth="1"/>
    <col min="16" max="16" width="1.109375" customWidth="1"/>
    <col min="17" max="17" width="4.6640625" style="30" customWidth="1"/>
  </cols>
  <sheetData>
    <row r="1" spans="1:29" ht="18">
      <c r="A1" s="13" t="s">
        <v>117</v>
      </c>
      <c r="B1" s="14"/>
      <c r="C1" s="14"/>
      <c r="D1" s="33"/>
    </row>
    <row r="2" spans="1:29" s="17" customFormat="1" ht="9" customHeight="1">
      <c r="A2" s="26"/>
      <c r="B2" s="19"/>
      <c r="D2" s="34"/>
      <c r="F2" s="34"/>
      <c r="H2" s="34"/>
      <c r="I2" s="19"/>
      <c r="J2" s="34"/>
      <c r="K2" s="19"/>
      <c r="L2" s="34"/>
      <c r="N2" s="39"/>
      <c r="O2" s="42"/>
      <c r="Q2" s="30"/>
    </row>
    <row r="3" spans="1:29" ht="97.8" customHeight="1">
      <c r="A3" s="96" t="s">
        <v>118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</row>
    <row r="4" spans="1:29" s="22" customFormat="1">
      <c r="A4" s="27" t="s">
        <v>66</v>
      </c>
      <c r="B4" s="23" t="s">
        <v>64</v>
      </c>
      <c r="D4" s="35" t="s">
        <v>25</v>
      </c>
      <c r="F4" s="35" t="s">
        <v>27</v>
      </c>
      <c r="H4" s="22" t="s">
        <v>69</v>
      </c>
      <c r="I4" s="23"/>
      <c r="J4" s="35" t="s">
        <v>28</v>
      </c>
      <c r="K4" s="23"/>
      <c r="L4" s="35" t="s">
        <v>70</v>
      </c>
      <c r="N4" s="40" t="s">
        <v>10</v>
      </c>
      <c r="O4" s="42"/>
      <c r="Q4" s="31"/>
    </row>
    <row r="5" spans="1:29" s="22" customFormat="1" ht="6" customHeight="1">
      <c r="A5" s="27"/>
      <c r="B5" s="23"/>
      <c r="D5" s="35"/>
      <c r="F5" s="35"/>
      <c r="H5" s="35"/>
      <c r="I5" s="23"/>
      <c r="J5" s="35"/>
      <c r="K5" s="23"/>
      <c r="L5" s="35"/>
      <c r="N5" s="40"/>
      <c r="O5" s="42"/>
      <c r="Q5" s="31"/>
    </row>
    <row r="6" spans="1:29" s="17" customFormat="1">
      <c r="A6" s="17" t="s">
        <v>10</v>
      </c>
      <c r="B6" s="19"/>
      <c r="D6" s="36">
        <v>0.75600000000000001</v>
      </c>
      <c r="F6" s="36">
        <v>0.88100000000000001</v>
      </c>
      <c r="I6" s="19"/>
      <c r="J6" s="36">
        <v>0.871</v>
      </c>
      <c r="K6" s="19"/>
      <c r="L6" s="34"/>
      <c r="N6" s="39">
        <f>(D6+F6+J6)/3</f>
        <v>0.83599999999999997</v>
      </c>
      <c r="O6" s="42"/>
      <c r="Q6" s="30" t="s">
        <v>10</v>
      </c>
    </row>
    <row r="7" spans="1:29" s="17" customFormat="1" ht="6" customHeight="1">
      <c r="B7" s="19"/>
      <c r="D7" s="34"/>
      <c r="F7" s="34"/>
      <c r="I7" s="19"/>
      <c r="J7" s="34"/>
      <c r="K7" s="19"/>
      <c r="L7" s="34"/>
      <c r="N7" s="39"/>
      <c r="O7" s="42"/>
      <c r="Q7" s="30"/>
    </row>
    <row r="8" spans="1:29" s="17" customFormat="1">
      <c r="A8" s="18" t="s">
        <v>5</v>
      </c>
      <c r="B8" s="19">
        <v>5</v>
      </c>
      <c r="D8" s="36">
        <v>0.66300000000000003</v>
      </c>
      <c r="F8" s="36">
        <v>0.79700000000000004</v>
      </c>
      <c r="I8" s="19"/>
      <c r="J8" s="36">
        <v>0.88100000000000001</v>
      </c>
      <c r="K8" s="19"/>
      <c r="L8" s="34"/>
      <c r="N8" s="39">
        <f>(D8+F8+J8)/3</f>
        <v>0.78033333333333343</v>
      </c>
      <c r="O8" s="42">
        <f t="shared" ref="O8:O29" si="0">N8-ALLALL_CK</f>
        <v>-5.5666666666666531E-2</v>
      </c>
      <c r="Q8" s="32" t="s">
        <v>58</v>
      </c>
    </row>
    <row r="9" spans="1:29" s="17" customFormat="1">
      <c r="A9" s="18" t="s">
        <v>6</v>
      </c>
      <c r="B9" s="19">
        <v>5</v>
      </c>
      <c r="D9" s="36">
        <v>0.379</v>
      </c>
      <c r="F9" s="36">
        <v>0.85599999999999998</v>
      </c>
      <c r="I9" s="19"/>
      <c r="J9" s="36">
        <v>0.78400000000000003</v>
      </c>
      <c r="K9" s="19"/>
      <c r="L9" s="34"/>
      <c r="N9" s="39">
        <f>(D9+F9+J9)/3</f>
        <v>0.67300000000000004</v>
      </c>
      <c r="O9" s="42">
        <f t="shared" si="0"/>
        <v>-0.16299999999999992</v>
      </c>
      <c r="Q9" s="32" t="s">
        <v>43</v>
      </c>
    </row>
    <row r="10" spans="1:29" s="17" customFormat="1">
      <c r="A10" s="18" t="s">
        <v>7</v>
      </c>
      <c r="B10" s="19">
        <v>5</v>
      </c>
      <c r="D10" s="36">
        <v>0.63900000000000001</v>
      </c>
      <c r="F10" s="36">
        <v>0.86499999999999999</v>
      </c>
      <c r="I10" s="19"/>
      <c r="J10" s="36">
        <v>0.70799999999999996</v>
      </c>
      <c r="K10" s="19"/>
      <c r="L10" s="34"/>
      <c r="N10" s="39">
        <f>(D10+F10+J10)/3</f>
        <v>0.73733333333333329</v>
      </c>
      <c r="O10" s="42">
        <f t="shared" si="0"/>
        <v>-9.866666666666668E-2</v>
      </c>
      <c r="Q10" s="32" t="s">
        <v>44</v>
      </c>
    </row>
    <row r="11" spans="1:29" s="17" customFormat="1">
      <c r="A11" s="18" t="s">
        <v>2</v>
      </c>
      <c r="B11" s="19">
        <v>4</v>
      </c>
      <c r="D11" s="36">
        <v>0.56100000000000005</v>
      </c>
      <c r="F11" s="36">
        <v>0.83799999999999997</v>
      </c>
      <c r="I11" s="19"/>
      <c r="J11" s="36">
        <v>0.77200000000000002</v>
      </c>
      <c r="K11" s="19"/>
      <c r="L11" s="34"/>
      <c r="N11" s="39">
        <f>(D11+F11+J11)/3</f>
        <v>0.72366666666666679</v>
      </c>
      <c r="O11" s="42">
        <f t="shared" si="0"/>
        <v>-0.11233333333333317</v>
      </c>
      <c r="Q11" s="32" t="s">
        <v>59</v>
      </c>
    </row>
    <row r="12" spans="1:29" s="17" customFormat="1">
      <c r="A12" s="18" t="s">
        <v>8</v>
      </c>
      <c r="B12" s="19">
        <v>4</v>
      </c>
      <c r="D12" s="36">
        <v>0</v>
      </c>
      <c r="F12" s="36">
        <v>0.46200000000000002</v>
      </c>
      <c r="I12" s="19"/>
      <c r="J12" s="34"/>
      <c r="K12" s="19"/>
      <c r="L12" s="34"/>
      <c r="N12" s="39">
        <f>(D12+F12+J12)/2</f>
        <v>0.23100000000000001</v>
      </c>
      <c r="O12" s="42">
        <f t="shared" si="0"/>
        <v>-0.60499999999999998</v>
      </c>
      <c r="Q12" s="32" t="s">
        <v>45</v>
      </c>
    </row>
    <row r="13" spans="1:29" s="17" customFormat="1">
      <c r="A13" s="18" t="s">
        <v>20</v>
      </c>
      <c r="B13" s="19">
        <v>1</v>
      </c>
      <c r="D13" s="34"/>
      <c r="F13" s="34"/>
      <c r="I13" s="19"/>
      <c r="J13" s="34"/>
      <c r="K13" s="19"/>
      <c r="L13" s="34"/>
      <c r="N13" s="39">
        <f t="shared" ref="N13:N19" si="1">(D13+F13+J13)/B13</f>
        <v>0</v>
      </c>
      <c r="O13" s="42">
        <f t="shared" si="0"/>
        <v>-0.83599999999999997</v>
      </c>
      <c r="Q13" s="32" t="s">
        <v>67</v>
      </c>
    </row>
    <row r="14" spans="1:29" s="17" customFormat="1">
      <c r="A14" s="18" t="s">
        <v>0</v>
      </c>
      <c r="B14" s="19">
        <v>1</v>
      </c>
      <c r="D14" s="34"/>
      <c r="F14" s="36">
        <v>0.79</v>
      </c>
      <c r="I14" s="19"/>
      <c r="J14" s="34"/>
      <c r="K14" s="19"/>
      <c r="L14" s="34"/>
      <c r="N14" s="39">
        <f t="shared" si="1"/>
        <v>0.79</v>
      </c>
      <c r="O14" s="42">
        <f t="shared" si="0"/>
        <v>-4.599999999999993E-2</v>
      </c>
      <c r="Q14" s="32" t="s">
        <v>60</v>
      </c>
    </row>
    <row r="15" spans="1:29" s="17" customFormat="1">
      <c r="A15" s="18" t="s">
        <v>1</v>
      </c>
      <c r="B15" s="19">
        <v>1</v>
      </c>
      <c r="D15" s="34"/>
      <c r="F15" s="36">
        <v>0.55500000000000005</v>
      </c>
      <c r="I15" s="19"/>
      <c r="J15" s="34"/>
      <c r="K15" s="19"/>
      <c r="L15" s="34"/>
      <c r="N15" s="39">
        <f t="shared" si="1"/>
        <v>0.55500000000000005</v>
      </c>
      <c r="O15" s="42">
        <f t="shared" si="0"/>
        <v>-0.28099999999999992</v>
      </c>
      <c r="Q15" s="32" t="s">
        <v>68</v>
      </c>
    </row>
    <row r="16" spans="1:29" s="17" customFormat="1">
      <c r="A16" s="18" t="s">
        <v>11</v>
      </c>
      <c r="B16" s="19">
        <v>1</v>
      </c>
      <c r="D16" s="34"/>
      <c r="F16" s="34"/>
      <c r="I16" s="19"/>
      <c r="J16" s="36">
        <v>0.79100000000000004</v>
      </c>
      <c r="K16" s="19"/>
      <c r="L16" s="34"/>
      <c r="N16" s="39">
        <f t="shared" si="1"/>
        <v>0.79100000000000004</v>
      </c>
      <c r="O16" s="42">
        <f t="shared" si="0"/>
        <v>-4.4999999999999929E-2</v>
      </c>
      <c r="Q16" s="32" t="s">
        <v>61</v>
      </c>
    </row>
    <row r="17" spans="1:17" s="17" customFormat="1">
      <c r="A17" s="18" t="s">
        <v>21</v>
      </c>
      <c r="B17" s="19">
        <v>1</v>
      </c>
      <c r="D17" s="34"/>
      <c r="F17" s="34"/>
      <c r="I17" s="19"/>
      <c r="J17" s="34"/>
      <c r="K17" s="19"/>
      <c r="L17" s="34"/>
      <c r="N17" s="39">
        <f t="shared" si="1"/>
        <v>0</v>
      </c>
      <c r="O17" s="42">
        <f t="shared" si="0"/>
        <v>-0.83599999999999997</v>
      </c>
      <c r="Q17" s="32" t="s">
        <v>46</v>
      </c>
    </row>
    <row r="18" spans="1:17" s="17" customFormat="1">
      <c r="A18" s="18" t="s">
        <v>12</v>
      </c>
      <c r="B18" s="19">
        <v>1</v>
      </c>
      <c r="D18" s="34"/>
      <c r="F18" s="34"/>
      <c r="I18" s="19"/>
      <c r="J18" s="36">
        <v>0.86699999999999999</v>
      </c>
      <c r="K18" s="19"/>
      <c r="L18" s="34"/>
      <c r="N18" s="39">
        <f t="shared" si="1"/>
        <v>0.86699999999999999</v>
      </c>
      <c r="O18" s="42">
        <f t="shared" si="0"/>
        <v>3.1000000000000028E-2</v>
      </c>
      <c r="Q18" s="32" t="s">
        <v>62</v>
      </c>
    </row>
    <row r="19" spans="1:17" s="17" customFormat="1">
      <c r="A19" s="18" t="s">
        <v>13</v>
      </c>
      <c r="B19" s="19">
        <v>1</v>
      </c>
      <c r="D19" s="34"/>
      <c r="F19" s="34"/>
      <c r="I19" s="19"/>
      <c r="J19" s="36">
        <v>0.54900000000000004</v>
      </c>
      <c r="K19" s="19"/>
      <c r="L19" s="34"/>
      <c r="N19" s="39">
        <f t="shared" si="1"/>
        <v>0.54900000000000004</v>
      </c>
      <c r="O19" s="42">
        <f t="shared" si="0"/>
        <v>-0.28699999999999992</v>
      </c>
      <c r="Q19" s="32" t="s">
        <v>47</v>
      </c>
    </row>
    <row r="20" spans="1:17" s="17" customFormat="1">
      <c r="A20" s="18" t="s">
        <v>3</v>
      </c>
      <c r="B20" s="19">
        <v>1</v>
      </c>
      <c r="D20" s="34"/>
      <c r="F20" s="36">
        <v>0.748</v>
      </c>
      <c r="H20" s="34"/>
      <c r="I20" s="19"/>
      <c r="J20" s="34"/>
      <c r="K20" s="19"/>
      <c r="L20" s="34"/>
      <c r="N20" s="39">
        <f t="shared" ref="N20:N29" si="2">(D20+F20+H20)/B20</f>
        <v>0.748</v>
      </c>
      <c r="O20" s="42">
        <f t="shared" si="0"/>
        <v>-8.7999999999999967E-2</v>
      </c>
      <c r="Q20" s="32" t="s">
        <v>48</v>
      </c>
    </row>
    <row r="21" spans="1:17" s="17" customFormat="1">
      <c r="A21" s="18" t="s">
        <v>22</v>
      </c>
      <c r="B21" s="19">
        <v>1</v>
      </c>
      <c r="D21" s="34"/>
      <c r="F21" s="34"/>
      <c r="H21" s="34"/>
      <c r="I21" s="19"/>
      <c r="J21" s="34"/>
      <c r="K21" s="19"/>
      <c r="L21" s="34"/>
      <c r="N21" s="39">
        <f t="shared" si="2"/>
        <v>0</v>
      </c>
      <c r="O21" s="42">
        <f t="shared" si="0"/>
        <v>-0.83599999999999997</v>
      </c>
      <c r="Q21" s="32" t="s">
        <v>49</v>
      </c>
    </row>
    <row r="22" spans="1:17" s="17" customFormat="1">
      <c r="A22" s="18" t="s">
        <v>17</v>
      </c>
      <c r="B22" s="19">
        <v>1</v>
      </c>
      <c r="D22" s="34"/>
      <c r="F22" s="34"/>
      <c r="H22" s="34"/>
      <c r="I22" s="19"/>
      <c r="J22" s="34"/>
      <c r="K22" s="19"/>
      <c r="L22" s="34"/>
      <c r="N22" s="39">
        <f t="shared" si="2"/>
        <v>0</v>
      </c>
      <c r="O22" s="42">
        <f t="shared" si="0"/>
        <v>-0.83599999999999997</v>
      </c>
      <c r="Q22" s="32" t="s">
        <v>63</v>
      </c>
    </row>
    <row r="23" spans="1:17" s="17" customFormat="1">
      <c r="A23" s="18" t="s">
        <v>18</v>
      </c>
      <c r="B23" s="19">
        <v>1</v>
      </c>
      <c r="D23" s="34"/>
      <c r="F23" s="34"/>
      <c r="H23" s="34"/>
      <c r="I23" s="19"/>
      <c r="J23" s="34"/>
      <c r="K23" s="19"/>
      <c r="L23" s="34"/>
      <c r="N23" s="39">
        <f t="shared" si="2"/>
        <v>0</v>
      </c>
      <c r="O23" s="42">
        <f t="shared" si="0"/>
        <v>-0.83599999999999997</v>
      </c>
      <c r="Q23" s="32" t="s">
        <v>51</v>
      </c>
    </row>
    <row r="24" spans="1:17" s="17" customFormat="1">
      <c r="A24" s="18" t="s">
        <v>19</v>
      </c>
      <c r="B24" s="19">
        <v>1</v>
      </c>
      <c r="D24" s="34"/>
      <c r="F24" s="34"/>
      <c r="H24" s="34"/>
      <c r="I24" s="19"/>
      <c r="J24" s="34"/>
      <c r="K24" s="19"/>
      <c r="L24" s="34"/>
      <c r="N24" s="39">
        <f t="shared" si="2"/>
        <v>0</v>
      </c>
      <c r="O24" s="42">
        <f t="shared" si="0"/>
        <v>-0.83599999999999997</v>
      </c>
      <c r="Q24" s="32" t="s">
        <v>52</v>
      </c>
    </row>
    <row r="25" spans="1:17" s="17" customFormat="1">
      <c r="A25" s="18" t="s">
        <v>4</v>
      </c>
      <c r="B25" s="19">
        <v>1</v>
      </c>
      <c r="D25" s="34"/>
      <c r="F25" s="36">
        <v>0.76500000000000001</v>
      </c>
      <c r="H25" s="34"/>
      <c r="I25" s="19"/>
      <c r="J25" s="34"/>
      <c r="K25" s="19"/>
      <c r="L25" s="34"/>
      <c r="N25" s="39">
        <f t="shared" si="2"/>
        <v>0.76500000000000001</v>
      </c>
      <c r="O25" s="42">
        <f t="shared" si="0"/>
        <v>-7.0999999999999952E-2</v>
      </c>
      <c r="Q25" s="32" t="s">
        <v>53</v>
      </c>
    </row>
    <row r="26" spans="1:17" s="17" customFormat="1">
      <c r="A26" s="18" t="s">
        <v>14</v>
      </c>
      <c r="B26" s="19">
        <v>1</v>
      </c>
      <c r="D26" s="36">
        <v>0.47499999999999998</v>
      </c>
      <c r="F26" s="34"/>
      <c r="H26" s="34"/>
      <c r="I26" s="19"/>
      <c r="J26" s="34"/>
      <c r="K26" s="19"/>
      <c r="L26" s="34"/>
      <c r="N26" s="39">
        <f t="shared" si="2"/>
        <v>0.47499999999999998</v>
      </c>
      <c r="O26" s="42">
        <f t="shared" si="0"/>
        <v>-0.36099999999999999</v>
      </c>
      <c r="Q26" s="32" t="s">
        <v>54</v>
      </c>
    </row>
    <row r="27" spans="1:17" s="17" customFormat="1">
      <c r="A27" s="18" t="s">
        <v>15</v>
      </c>
      <c r="B27" s="19">
        <v>1</v>
      </c>
      <c r="D27" s="36">
        <v>0.50600000000000001</v>
      </c>
      <c r="F27" s="34"/>
      <c r="H27" s="34"/>
      <c r="I27" s="19"/>
      <c r="J27" s="34"/>
      <c r="K27" s="19"/>
      <c r="L27" s="34"/>
      <c r="N27" s="39">
        <f t="shared" si="2"/>
        <v>0.50600000000000001</v>
      </c>
      <c r="O27" s="42">
        <f t="shared" si="0"/>
        <v>-0.32999999999999996</v>
      </c>
      <c r="Q27" s="32" t="s">
        <v>55</v>
      </c>
    </row>
    <row r="28" spans="1:17" s="17" customFormat="1">
      <c r="A28" s="18" t="s">
        <v>16</v>
      </c>
      <c r="B28" s="19">
        <v>1</v>
      </c>
      <c r="D28" s="36">
        <v>0.30599999999999999</v>
      </c>
      <c r="F28" s="34"/>
      <c r="H28" s="34"/>
      <c r="I28" s="19"/>
      <c r="J28" s="34"/>
      <c r="K28" s="19"/>
      <c r="L28" s="34"/>
      <c r="N28" s="39">
        <f t="shared" si="2"/>
        <v>0.30599999999999999</v>
      </c>
      <c r="O28" s="42">
        <f t="shared" si="0"/>
        <v>-0.53</v>
      </c>
      <c r="Q28" s="32" t="s">
        <v>56</v>
      </c>
    </row>
    <row r="29" spans="1:17" s="17" customFormat="1">
      <c r="A29" s="18" t="s">
        <v>9</v>
      </c>
      <c r="B29" s="19">
        <v>1</v>
      </c>
      <c r="D29" s="34"/>
      <c r="F29" s="36">
        <v>0.64200000000000002</v>
      </c>
      <c r="H29" s="34"/>
      <c r="I29" s="19"/>
      <c r="J29" s="34"/>
      <c r="K29" s="19"/>
      <c r="L29" s="34"/>
      <c r="N29" s="39">
        <f t="shared" si="2"/>
        <v>0.64200000000000002</v>
      </c>
      <c r="O29" s="42">
        <f t="shared" si="0"/>
        <v>-0.19399999999999995</v>
      </c>
      <c r="Q29" s="32" t="s">
        <v>57</v>
      </c>
    </row>
    <row r="30" spans="1:17" s="17" customFormat="1">
      <c r="A30" s="26"/>
      <c r="B30" s="19"/>
      <c r="D30" s="34"/>
      <c r="F30" s="34"/>
      <c r="H30" s="34"/>
      <c r="I30" s="19"/>
      <c r="J30" s="34"/>
      <c r="K30" s="19"/>
      <c r="L30" s="34"/>
      <c r="N30" s="39"/>
      <c r="O30" s="42"/>
      <c r="Q30" s="30"/>
    </row>
    <row r="31" spans="1:17">
      <c r="A31" s="43" t="s">
        <v>71</v>
      </c>
    </row>
    <row r="32" spans="1:17">
      <c r="A32" s="28"/>
      <c r="B32"/>
      <c r="D32" s="37"/>
      <c r="F32" s="37"/>
      <c r="N32" s="41"/>
    </row>
    <row r="33" spans="1:17" s="16" customFormat="1">
      <c r="A33" s="28"/>
      <c r="B33"/>
      <c r="C33"/>
      <c r="D33" s="37"/>
      <c r="E33"/>
      <c r="F33" s="37"/>
      <c r="G33"/>
      <c r="H33" s="36"/>
      <c r="I33" s="2"/>
      <c r="J33" s="36"/>
      <c r="K33" s="2"/>
      <c r="L33" s="36"/>
      <c r="M33"/>
      <c r="N33" s="41"/>
      <c r="O33" s="42"/>
      <c r="P33"/>
      <c r="Q33" s="30"/>
    </row>
    <row r="34" spans="1:17" s="16" customFormat="1">
      <c r="A34" s="28"/>
      <c r="B34"/>
      <c r="C34"/>
      <c r="D34" s="37"/>
      <c r="E34"/>
      <c r="F34" s="37"/>
      <c r="G34"/>
      <c r="H34" s="36"/>
      <c r="I34" s="2"/>
      <c r="J34" s="36"/>
      <c r="K34" s="2"/>
      <c r="L34" s="36"/>
      <c r="M34"/>
      <c r="N34" s="41"/>
      <c r="O34" s="42"/>
      <c r="P34"/>
      <c r="Q34" s="30"/>
    </row>
    <row r="39" spans="1:17">
      <c r="E39" s="15"/>
    </row>
    <row r="40" spans="1:17">
      <c r="E40" s="15"/>
    </row>
    <row r="41" spans="1:17">
      <c r="E41" s="15"/>
    </row>
    <row r="42" spans="1:17">
      <c r="E42" s="15"/>
    </row>
    <row r="43" spans="1:17">
      <c r="E43" s="15"/>
    </row>
    <row r="44" spans="1:17">
      <c r="E44" s="15"/>
    </row>
    <row r="45" spans="1:17">
      <c r="E45" s="15"/>
    </row>
    <row r="46" spans="1:17">
      <c r="E46" s="15"/>
    </row>
    <row r="47" spans="1:17">
      <c r="E47" s="15"/>
    </row>
    <row r="48" spans="1:17">
      <c r="E48" s="15"/>
    </row>
    <row r="49" spans="5:5">
      <c r="E49" s="15"/>
    </row>
  </sheetData>
  <mergeCells count="1">
    <mergeCell ref="A3:Q3"/>
  </mergeCells>
  <pageMargins left="0.7" right="0.7" top="0.75" bottom="0.75" header="0.3" footer="0.3"/>
  <pageSetup paperSize="9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34"/>
  <sheetViews>
    <sheetView workbookViewId="0">
      <selection activeCell="O37" sqref="O37"/>
    </sheetView>
  </sheetViews>
  <sheetFormatPr defaultRowHeight="14.4"/>
  <cols>
    <col min="1" max="1" width="6" customWidth="1"/>
    <col min="2" max="2" width="1.44140625" customWidth="1"/>
    <col min="3" max="4" width="8.21875" style="5" customWidth="1"/>
    <col min="5" max="5" width="8.21875" style="8" customWidth="1"/>
    <col min="6" max="6" width="1.44140625" customWidth="1"/>
    <col min="7" max="8" width="8.21875" style="5" customWidth="1"/>
    <col min="9" max="9" width="8.21875" style="8" customWidth="1"/>
    <col min="10" max="10" width="1.44140625" customWidth="1"/>
    <col min="11" max="12" width="8.21875" style="5" customWidth="1"/>
    <col min="13" max="13" width="8.21875" style="8" customWidth="1"/>
    <col min="14" max="14" width="1.44140625" customWidth="1"/>
    <col min="15" max="16" width="8.21875" style="6" customWidth="1"/>
    <col min="17" max="17" width="8.21875" style="10" customWidth="1"/>
    <col min="18" max="18" width="1.44140625" customWidth="1"/>
    <col min="19" max="20" width="8.21875" style="6" customWidth="1"/>
    <col min="21" max="21" width="8.21875" style="10" customWidth="1"/>
    <col min="22" max="22" width="1.44140625" customWidth="1"/>
    <col min="23" max="24" width="8.5546875" style="5" customWidth="1"/>
    <col min="25" max="25" width="8.5546875" style="8" customWidth="1"/>
  </cols>
  <sheetData>
    <row r="1" spans="1:25" ht="18">
      <c r="A1" s="13" t="s">
        <v>37</v>
      </c>
      <c r="B1" s="14"/>
      <c r="C1" s="14"/>
      <c r="D1" s="14"/>
      <c r="K1" s="6"/>
      <c r="L1" s="6"/>
    </row>
    <row r="3" spans="1:25">
      <c r="C3" s="52" t="s">
        <v>25</v>
      </c>
      <c r="D3" s="52"/>
      <c r="E3" s="52"/>
      <c r="G3" s="52" t="s">
        <v>27</v>
      </c>
      <c r="H3" s="52"/>
      <c r="I3" s="52"/>
      <c r="K3" s="52" t="s">
        <v>69</v>
      </c>
      <c r="L3" s="52"/>
      <c r="M3" s="52"/>
      <c r="O3" s="52" t="s">
        <v>28</v>
      </c>
      <c r="P3" s="52"/>
      <c r="Q3" s="52"/>
      <c r="S3" s="52" t="s">
        <v>70</v>
      </c>
      <c r="T3" s="52"/>
      <c r="U3" s="52"/>
      <c r="W3" s="52" t="s">
        <v>10</v>
      </c>
      <c r="X3" s="52"/>
      <c r="Y3" s="52"/>
    </row>
    <row r="4" spans="1:25" s="1" customFormat="1">
      <c r="A4" s="1" t="s">
        <v>65</v>
      </c>
      <c r="C4" s="4" t="s">
        <v>23</v>
      </c>
      <c r="D4" s="4" t="s">
        <v>26</v>
      </c>
      <c r="E4" s="9" t="s">
        <v>24</v>
      </c>
      <c r="G4" s="4" t="s">
        <v>23</v>
      </c>
      <c r="H4" s="4" t="s">
        <v>26</v>
      </c>
      <c r="I4" s="9" t="s">
        <v>24</v>
      </c>
      <c r="K4" s="4" t="s">
        <v>23</v>
      </c>
      <c r="L4" s="4" t="s">
        <v>26</v>
      </c>
      <c r="M4" s="9" t="s">
        <v>24</v>
      </c>
      <c r="O4" s="4" t="s">
        <v>23</v>
      </c>
      <c r="P4" s="4" t="s">
        <v>26</v>
      </c>
      <c r="Q4" s="9" t="s">
        <v>24</v>
      </c>
      <c r="S4" s="4" t="s">
        <v>23</v>
      </c>
      <c r="T4" s="4" t="s">
        <v>26</v>
      </c>
      <c r="U4" s="9" t="s">
        <v>24</v>
      </c>
      <c r="W4" s="4" t="s">
        <v>23</v>
      </c>
      <c r="X4" s="4" t="s">
        <v>26</v>
      </c>
      <c r="Y4" s="9" t="s">
        <v>24</v>
      </c>
    </row>
    <row r="5" spans="1:25" s="1" customFormat="1" ht="6" customHeight="1">
      <c r="C5" s="4"/>
      <c r="D5" s="4"/>
      <c r="E5" s="9"/>
      <c r="G5" s="4"/>
      <c r="H5" s="4"/>
      <c r="I5" s="9"/>
      <c r="K5" s="4"/>
      <c r="L5" s="4"/>
      <c r="M5" s="9"/>
      <c r="O5" s="4"/>
      <c r="P5" s="4"/>
      <c r="Q5" s="9"/>
      <c r="S5" s="7"/>
      <c r="T5" s="7"/>
      <c r="U5" s="11"/>
      <c r="W5" s="4"/>
      <c r="X5" s="4"/>
      <c r="Y5" s="9"/>
    </row>
    <row r="6" spans="1:25">
      <c r="A6" s="1" t="s">
        <v>35</v>
      </c>
      <c r="C6" s="5">
        <v>472</v>
      </c>
      <c r="D6" s="5">
        <v>417</v>
      </c>
      <c r="E6" s="8">
        <f t="shared" ref="E6:E12" si="0">D6/C6</f>
        <v>0.88347457627118642</v>
      </c>
      <c r="G6" s="5">
        <v>1359</v>
      </c>
      <c r="H6" s="5">
        <v>1244</v>
      </c>
      <c r="I6" s="8">
        <f t="shared" ref="I6:I12" si="1">H6/G6</f>
        <v>0.91537895511405443</v>
      </c>
      <c r="O6" s="5">
        <v>204</v>
      </c>
      <c r="P6" s="5">
        <v>189</v>
      </c>
      <c r="Q6" s="8">
        <f t="shared" ref="Q6:Q12" si="2">P6/O6</f>
        <v>0.92647058823529416</v>
      </c>
      <c r="W6" s="5">
        <f t="shared" ref="W6:X12" si="3">C6+G6+K6</f>
        <v>1831</v>
      </c>
      <c r="X6" s="5">
        <f t="shared" si="3"/>
        <v>1661</v>
      </c>
      <c r="Y6" s="8">
        <f t="shared" ref="Y6:Y12" si="4">X6/W6</f>
        <v>0.90715456034953579</v>
      </c>
    </row>
    <row r="7" spans="1:25">
      <c r="A7" s="1" t="s">
        <v>36</v>
      </c>
      <c r="C7" s="5">
        <v>600</v>
      </c>
      <c r="D7" s="5">
        <v>539</v>
      </c>
      <c r="E7" s="8">
        <f t="shared" si="0"/>
        <v>0.89833333333333332</v>
      </c>
      <c r="G7" s="5">
        <v>1547</v>
      </c>
      <c r="H7" s="5">
        <v>1428</v>
      </c>
      <c r="I7" s="8">
        <f t="shared" si="1"/>
        <v>0.92307692307692313</v>
      </c>
      <c r="O7" s="5">
        <v>266</v>
      </c>
      <c r="P7" s="5">
        <v>253</v>
      </c>
      <c r="Q7" s="8">
        <f t="shared" si="2"/>
        <v>0.95112781954887216</v>
      </c>
      <c r="W7" s="5">
        <f t="shared" si="3"/>
        <v>2147</v>
      </c>
      <c r="X7" s="5">
        <f t="shared" si="3"/>
        <v>1967</v>
      </c>
      <c r="Y7" s="8">
        <f t="shared" si="4"/>
        <v>0.91616208663251053</v>
      </c>
    </row>
    <row r="8" spans="1:25">
      <c r="A8" s="1" t="s">
        <v>38</v>
      </c>
      <c r="C8" s="5">
        <v>776</v>
      </c>
      <c r="D8" s="5">
        <v>692</v>
      </c>
      <c r="E8" s="8">
        <f t="shared" si="0"/>
        <v>0.89175257731958768</v>
      </c>
      <c r="G8" s="5">
        <v>2205</v>
      </c>
      <c r="H8" s="5">
        <v>2089</v>
      </c>
      <c r="I8" s="8">
        <f t="shared" si="1"/>
        <v>0.94739229024943306</v>
      </c>
      <c r="O8" s="5">
        <v>98</v>
      </c>
      <c r="P8" s="5">
        <v>90</v>
      </c>
      <c r="Q8" s="8">
        <f t="shared" si="2"/>
        <v>0.91836734693877553</v>
      </c>
      <c r="W8" s="5">
        <f t="shared" si="3"/>
        <v>2981</v>
      </c>
      <c r="X8" s="5">
        <f t="shared" si="3"/>
        <v>2781</v>
      </c>
      <c r="Y8" s="8">
        <f t="shared" si="4"/>
        <v>0.93290841999329088</v>
      </c>
    </row>
    <row r="9" spans="1:25">
      <c r="A9" s="1" t="s">
        <v>39</v>
      </c>
      <c r="C9" s="5">
        <v>72</v>
      </c>
      <c r="D9" s="5">
        <v>68</v>
      </c>
      <c r="E9" s="8">
        <f t="shared" si="0"/>
        <v>0.94444444444444442</v>
      </c>
      <c r="G9" s="5">
        <v>1830</v>
      </c>
      <c r="H9" s="5">
        <v>1736</v>
      </c>
      <c r="I9" s="8">
        <f t="shared" si="1"/>
        <v>0.94863387978142077</v>
      </c>
      <c r="O9" s="5">
        <v>98</v>
      </c>
      <c r="P9" s="5">
        <v>91</v>
      </c>
      <c r="Q9" s="8">
        <f t="shared" si="2"/>
        <v>0.9285714285714286</v>
      </c>
      <c r="W9" s="5">
        <f t="shared" si="3"/>
        <v>1902</v>
      </c>
      <c r="X9" s="5">
        <f t="shared" si="3"/>
        <v>1804</v>
      </c>
      <c r="Y9" s="8">
        <f t="shared" si="4"/>
        <v>0.94847528916929547</v>
      </c>
    </row>
    <row r="10" spans="1:25">
      <c r="A10" s="1" t="s">
        <v>40</v>
      </c>
      <c r="C10" s="5">
        <v>672</v>
      </c>
      <c r="D10" s="5">
        <v>608</v>
      </c>
      <c r="E10" s="8">
        <f t="shared" si="0"/>
        <v>0.90476190476190477</v>
      </c>
      <c r="G10" s="5">
        <v>2680</v>
      </c>
      <c r="H10" s="5">
        <v>2532</v>
      </c>
      <c r="I10" s="8">
        <f t="shared" si="1"/>
        <v>0.94477611940298512</v>
      </c>
      <c r="O10" s="5">
        <v>258</v>
      </c>
      <c r="P10" s="5">
        <v>247</v>
      </c>
      <c r="Q10" s="8">
        <f t="shared" si="2"/>
        <v>0.95736434108527135</v>
      </c>
      <c r="W10" s="5">
        <f t="shared" si="3"/>
        <v>3352</v>
      </c>
      <c r="X10" s="5">
        <f t="shared" si="3"/>
        <v>3140</v>
      </c>
      <c r="Y10" s="8">
        <f t="shared" si="4"/>
        <v>0.93675417661097848</v>
      </c>
    </row>
    <row r="11" spans="1:25">
      <c r="A11" s="1" t="s">
        <v>41</v>
      </c>
      <c r="C11" s="5">
        <v>1024</v>
      </c>
      <c r="D11" s="5">
        <v>947</v>
      </c>
      <c r="E11" s="8">
        <f t="shared" si="0"/>
        <v>0.9248046875</v>
      </c>
      <c r="G11" s="5">
        <v>920</v>
      </c>
      <c r="H11" s="5">
        <v>890</v>
      </c>
      <c r="I11" s="8">
        <f t="shared" si="1"/>
        <v>0.96739130434782605</v>
      </c>
      <c r="O11" s="5">
        <v>37</v>
      </c>
      <c r="P11" s="5">
        <v>36</v>
      </c>
      <c r="Q11" s="8">
        <f t="shared" si="2"/>
        <v>0.97297297297297303</v>
      </c>
      <c r="W11" s="5">
        <f t="shared" si="3"/>
        <v>1944</v>
      </c>
      <c r="X11" s="5">
        <f t="shared" si="3"/>
        <v>1837</v>
      </c>
      <c r="Y11" s="8">
        <f t="shared" si="4"/>
        <v>0.94495884773662553</v>
      </c>
    </row>
    <row r="12" spans="1:25">
      <c r="A12" s="1" t="s">
        <v>42</v>
      </c>
      <c r="C12" s="5">
        <v>409</v>
      </c>
      <c r="D12" s="5">
        <v>377</v>
      </c>
      <c r="E12" s="8">
        <f t="shared" si="0"/>
        <v>0.92176039119804398</v>
      </c>
      <c r="G12" s="5">
        <v>1440</v>
      </c>
      <c r="H12" s="5">
        <v>1385</v>
      </c>
      <c r="I12" s="8">
        <f t="shared" si="1"/>
        <v>0.96180555555555558</v>
      </c>
      <c r="O12" s="5">
        <v>3</v>
      </c>
      <c r="P12" s="5">
        <v>2</v>
      </c>
      <c r="Q12" s="8">
        <f t="shared" si="2"/>
        <v>0.66666666666666663</v>
      </c>
      <c r="W12" s="5">
        <f t="shared" si="3"/>
        <v>1849</v>
      </c>
      <c r="X12" s="5">
        <f t="shared" si="3"/>
        <v>1762</v>
      </c>
      <c r="Y12" s="8">
        <f t="shared" si="4"/>
        <v>0.952947539210384</v>
      </c>
    </row>
    <row r="15" spans="1:25">
      <c r="A15" s="12"/>
      <c r="C15"/>
      <c r="D15"/>
      <c r="E15"/>
      <c r="G15"/>
      <c r="H15"/>
      <c r="I15"/>
      <c r="K15"/>
      <c r="L15"/>
      <c r="M15"/>
      <c r="O15"/>
      <c r="P15"/>
      <c r="Q15"/>
      <c r="S15"/>
      <c r="T15"/>
      <c r="U15"/>
      <c r="W15"/>
      <c r="X15"/>
      <c r="Y15"/>
    </row>
    <row r="16" spans="1:25">
      <c r="A16" s="12"/>
      <c r="C16"/>
      <c r="D16"/>
      <c r="E16"/>
      <c r="G16"/>
      <c r="H16"/>
      <c r="I16"/>
      <c r="K16"/>
      <c r="L16"/>
      <c r="M16"/>
      <c r="O16"/>
      <c r="P16"/>
      <c r="Q16"/>
      <c r="S16"/>
      <c r="T16"/>
      <c r="U16"/>
      <c r="W16"/>
      <c r="X16"/>
      <c r="Y16"/>
    </row>
    <row r="17" spans="1:25">
      <c r="A17" s="12"/>
      <c r="C17"/>
      <c r="D17"/>
      <c r="E17"/>
      <c r="G17"/>
      <c r="H17"/>
      <c r="I17"/>
      <c r="K17"/>
      <c r="L17"/>
      <c r="M17"/>
      <c r="O17"/>
      <c r="P17"/>
      <c r="Q17"/>
      <c r="S17"/>
      <c r="T17"/>
      <c r="U17"/>
      <c r="W17"/>
      <c r="X17"/>
      <c r="Y17"/>
    </row>
    <row r="34" spans="10:10">
      <c r="J34" s="15"/>
    </row>
  </sheetData>
  <mergeCells count="6">
    <mergeCell ref="C3:E3"/>
    <mergeCell ref="G3:I3"/>
    <mergeCell ref="K3:M3"/>
    <mergeCell ref="W3:Y3"/>
    <mergeCell ref="O3:Q3"/>
    <mergeCell ref="S3:U3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79"/>
  <sheetViews>
    <sheetView topLeftCell="A7" workbookViewId="0">
      <selection activeCell="A29" sqref="A29:D29"/>
    </sheetView>
  </sheetViews>
  <sheetFormatPr defaultRowHeight="14.4"/>
  <cols>
    <col min="2" max="2" width="22.88671875" customWidth="1"/>
    <col min="3" max="3" width="8.33203125" style="37" customWidth="1"/>
    <col min="4" max="5" width="8.33203125" style="46" customWidth="1"/>
    <col min="6" max="6" width="6.88671875" style="2" customWidth="1"/>
    <col min="7" max="7" width="1.88671875" customWidth="1"/>
    <col min="8" max="8" width="8.33203125" style="37" customWidth="1"/>
    <col min="9" max="10" width="8.33203125" style="46" customWidth="1"/>
    <col min="11" max="11" width="6.88671875" style="2" customWidth="1"/>
    <col min="12" max="12" width="1.88671875" customWidth="1"/>
    <col min="13" max="13" width="8.33203125" style="37" customWidth="1"/>
    <col min="14" max="15" width="8.33203125" style="46" customWidth="1"/>
    <col min="16" max="16" width="6.88671875" style="2" customWidth="1"/>
    <col min="17" max="17" width="1.88671875" customWidth="1"/>
    <col min="18" max="18" width="8.33203125" style="37" customWidth="1"/>
    <col min="19" max="20" width="8.33203125" style="46" customWidth="1"/>
    <col min="21" max="21" width="6.88671875" style="2" customWidth="1"/>
    <col min="22" max="22" width="1.88671875" customWidth="1"/>
    <col min="23" max="23" width="8.33203125" style="37" customWidth="1"/>
    <col min="24" max="25" width="8.33203125" style="46" customWidth="1"/>
    <col min="26" max="26" width="6.88671875" style="2" customWidth="1"/>
    <col min="27" max="27" width="1.88671875" customWidth="1"/>
    <col min="28" max="28" width="8.33203125" style="37" customWidth="1"/>
    <col min="29" max="30" width="8.33203125" style="46" customWidth="1"/>
    <col min="31" max="31" width="6.88671875" style="2" customWidth="1"/>
    <col min="32" max="32" width="1.88671875" customWidth="1"/>
    <col min="33" max="33" width="5.88671875" customWidth="1"/>
    <col min="34" max="34" width="1.88671875" customWidth="1"/>
    <col min="35" max="36" width="10.77734375" style="37" customWidth="1"/>
    <col min="37" max="37" width="8.6640625" style="55" customWidth="1"/>
    <col min="38" max="38" width="4.6640625" style="30" customWidth="1"/>
  </cols>
  <sheetData>
    <row r="1" spans="1:38" ht="18">
      <c r="A1" s="13" t="s">
        <v>115</v>
      </c>
      <c r="C1" s="33"/>
      <c r="D1" s="45"/>
      <c r="E1" s="45"/>
      <c r="G1" s="14"/>
      <c r="H1" s="33"/>
      <c r="I1" s="45"/>
      <c r="J1" s="45"/>
      <c r="L1" s="14"/>
      <c r="M1" s="33"/>
      <c r="N1" s="45"/>
      <c r="O1" s="45"/>
      <c r="Q1" s="14"/>
      <c r="R1" s="33"/>
      <c r="S1" s="45"/>
      <c r="T1" s="45"/>
      <c r="V1" s="14"/>
      <c r="W1" s="33"/>
      <c r="X1" s="45"/>
      <c r="Y1" s="45"/>
      <c r="AA1" s="14"/>
      <c r="AB1" s="33"/>
      <c r="AC1" s="45"/>
      <c r="AD1" s="45"/>
    </row>
    <row r="3" spans="1:38" s="78" customFormat="1" ht="12">
      <c r="C3" s="79" t="s">
        <v>104</v>
      </c>
      <c r="D3" s="79"/>
      <c r="E3" s="79"/>
      <c r="F3" s="79"/>
      <c r="G3" s="80"/>
      <c r="H3" s="79" t="s">
        <v>105</v>
      </c>
      <c r="I3" s="79"/>
      <c r="J3" s="79"/>
      <c r="K3" s="79"/>
      <c r="L3" s="80"/>
      <c r="M3" s="79" t="s">
        <v>106</v>
      </c>
      <c r="N3" s="79"/>
      <c r="O3" s="79"/>
      <c r="P3" s="79"/>
      <c r="Q3" s="80"/>
      <c r="R3" s="79" t="s">
        <v>107</v>
      </c>
      <c r="S3" s="79"/>
      <c r="T3" s="79"/>
      <c r="U3" s="79"/>
      <c r="V3" s="80"/>
      <c r="W3" s="79" t="s">
        <v>108</v>
      </c>
      <c r="X3" s="79"/>
      <c r="Y3" s="79"/>
      <c r="Z3" s="79"/>
      <c r="AA3" s="80"/>
      <c r="AB3" s="79" t="s">
        <v>109</v>
      </c>
      <c r="AC3" s="79"/>
      <c r="AD3" s="79"/>
      <c r="AE3" s="79"/>
      <c r="AI3" s="79"/>
      <c r="AJ3" s="79"/>
      <c r="AK3" s="81"/>
      <c r="AL3" s="77"/>
    </row>
    <row r="4" spans="1:38" s="1" customFormat="1">
      <c r="A4" s="1" t="s">
        <v>78</v>
      </c>
      <c r="B4" s="1" t="s">
        <v>66</v>
      </c>
      <c r="C4" s="53" t="s">
        <v>72</v>
      </c>
      <c r="D4" s="53"/>
      <c r="E4" s="53"/>
      <c r="F4" s="53"/>
      <c r="G4" s="47"/>
      <c r="H4" s="53" t="s">
        <v>73</v>
      </c>
      <c r="I4" s="53"/>
      <c r="J4" s="53"/>
      <c r="K4" s="53"/>
      <c r="L4" s="47"/>
      <c r="M4" s="53" t="s">
        <v>74</v>
      </c>
      <c r="N4" s="53"/>
      <c r="O4" s="53"/>
      <c r="P4" s="53"/>
      <c r="Q4" s="47"/>
      <c r="R4" s="53" t="s">
        <v>75</v>
      </c>
      <c r="S4" s="53"/>
      <c r="T4" s="53"/>
      <c r="U4" s="53"/>
      <c r="V4" s="47"/>
      <c r="W4" s="53" t="s">
        <v>76</v>
      </c>
      <c r="X4" s="53"/>
      <c r="Y4" s="53"/>
      <c r="Z4" s="53"/>
      <c r="AA4" s="47"/>
      <c r="AB4" s="53" t="s">
        <v>77</v>
      </c>
      <c r="AC4" s="53"/>
      <c r="AD4" s="53"/>
      <c r="AE4" s="53"/>
      <c r="AI4" s="53" t="s">
        <v>94</v>
      </c>
      <c r="AJ4" s="53"/>
      <c r="AK4" s="56"/>
      <c r="AL4" s="30"/>
    </row>
    <row r="5" spans="1:38" s="48" customFormat="1">
      <c r="C5" s="49" t="s">
        <v>50</v>
      </c>
      <c r="D5" s="50" t="s">
        <v>81</v>
      </c>
      <c r="E5" s="50" t="s">
        <v>82</v>
      </c>
      <c r="F5" s="48" t="s">
        <v>83</v>
      </c>
      <c r="H5" s="49" t="s">
        <v>50</v>
      </c>
      <c r="I5" s="50" t="s">
        <v>81</v>
      </c>
      <c r="J5" s="50" t="s">
        <v>82</v>
      </c>
      <c r="K5" s="48" t="s">
        <v>83</v>
      </c>
      <c r="M5" s="49" t="s">
        <v>50</v>
      </c>
      <c r="N5" s="50" t="s">
        <v>81</v>
      </c>
      <c r="O5" s="50" t="s">
        <v>82</v>
      </c>
      <c r="P5" s="48" t="s">
        <v>83</v>
      </c>
      <c r="R5" s="49" t="s">
        <v>50</v>
      </c>
      <c r="S5" s="50" t="s">
        <v>81</v>
      </c>
      <c r="T5" s="50" t="s">
        <v>82</v>
      </c>
      <c r="U5" s="48" t="s">
        <v>83</v>
      </c>
      <c r="W5" s="49" t="s">
        <v>50</v>
      </c>
      <c r="X5" s="50" t="s">
        <v>81</v>
      </c>
      <c r="Y5" s="50" t="s">
        <v>82</v>
      </c>
      <c r="Z5" s="48" t="s">
        <v>83</v>
      </c>
      <c r="AB5" s="49" t="s">
        <v>50</v>
      </c>
      <c r="AC5" s="50" t="s">
        <v>81</v>
      </c>
      <c r="AD5" s="50" t="s">
        <v>82</v>
      </c>
      <c r="AE5" s="48" t="s">
        <v>83</v>
      </c>
      <c r="AG5" s="54" t="s">
        <v>95</v>
      </c>
      <c r="AI5" s="47" t="s">
        <v>90</v>
      </c>
      <c r="AJ5" s="49" t="s">
        <v>91</v>
      </c>
      <c r="AK5" s="57"/>
      <c r="AL5" s="31"/>
    </row>
    <row r="6" spans="1:38" s="17" customFormat="1">
      <c r="C6" s="60"/>
      <c r="D6" s="61"/>
      <c r="E6" s="61"/>
      <c r="F6" s="19"/>
      <c r="H6" s="60"/>
      <c r="I6" s="61"/>
      <c r="J6" s="61"/>
      <c r="K6" s="19"/>
      <c r="M6" s="60"/>
      <c r="N6" s="61"/>
      <c r="O6" s="61"/>
      <c r="P6" s="19"/>
      <c r="R6" s="60"/>
      <c r="S6" s="61"/>
      <c r="T6" s="61"/>
      <c r="U6" s="19"/>
      <c r="W6" s="60"/>
      <c r="X6" s="61"/>
      <c r="Y6" s="61"/>
      <c r="Z6" s="19"/>
      <c r="AB6" s="60"/>
      <c r="AC6" s="61"/>
      <c r="AD6" s="61"/>
      <c r="AE6" s="19"/>
      <c r="AI6" s="60"/>
      <c r="AJ6" s="60"/>
      <c r="AK6" s="55"/>
      <c r="AL6" s="31"/>
    </row>
    <row r="7" spans="1:38" s="17" customFormat="1">
      <c r="A7" s="62" t="s">
        <v>25</v>
      </c>
      <c r="B7" s="18" t="s">
        <v>10</v>
      </c>
      <c r="C7" s="60">
        <v>0.109</v>
      </c>
      <c r="D7" s="61">
        <v>5.11E-2</v>
      </c>
      <c r="E7" s="61">
        <f>0.5 * LN((1 + VALUE(C7)) / (1 - VALUE(C7)))</f>
        <v>0.10943477993977886</v>
      </c>
      <c r="F7" s="19" t="s">
        <v>79</v>
      </c>
      <c r="H7" s="60">
        <v>7.4999999999999997E-2</v>
      </c>
      <c r="I7" s="61">
        <v>4.7E-2</v>
      </c>
      <c r="J7" s="61">
        <f>0.5 * LN((1 + VALUE(H7)) / (1 - VALUE(H7)))</f>
        <v>7.5141101524668949E-2</v>
      </c>
      <c r="K7" s="19" t="s">
        <v>79</v>
      </c>
      <c r="M7" s="60">
        <v>1.4999999999999999E-2</v>
      </c>
      <c r="N7" s="61">
        <v>0.80630000000000002</v>
      </c>
      <c r="O7" s="61">
        <f>0.5 * LN((1 + VALUE(M7)) / (1 - VALUE(M7)))</f>
        <v>1.500112515189935E-2</v>
      </c>
      <c r="P7" s="19"/>
      <c r="R7" s="60">
        <v>0.27500000000000002</v>
      </c>
      <c r="S7" s="61">
        <v>0</v>
      </c>
      <c r="T7" s="61">
        <f>0.5 * LN((1 + VALUE(R7)) / (1 - VALUE(R7)))</f>
        <v>0.28226490136892585</v>
      </c>
      <c r="U7" s="19" t="s">
        <v>79</v>
      </c>
      <c r="W7" s="60">
        <v>0.53500000000000003</v>
      </c>
      <c r="X7" s="61">
        <v>0</v>
      </c>
      <c r="Y7" s="61">
        <f>0.5 * LN((1 + VALUE(W7)) / (1 - VALUE(W7)))</f>
        <v>0.59712412721697072</v>
      </c>
      <c r="Z7" s="19" t="s">
        <v>79</v>
      </c>
      <c r="AB7" s="60">
        <v>0.72599999999999998</v>
      </c>
      <c r="AC7" s="61">
        <v>0</v>
      </c>
      <c r="AD7" s="61">
        <f>0.5 * LN((1 + VALUE(AB7)) / (1 - VALUE(AB7)))</f>
        <v>0.92021688262765144</v>
      </c>
      <c r="AE7" s="19" t="s">
        <v>79</v>
      </c>
      <c r="AG7" s="63">
        <f>(IF(F7="Y", E7, 0) + IF(K7="Y", J7, 0) + IF(P7="Y", O7, 0) + IF(U7="Y", T7, 0) + IF(Z7="Y", Y7, 0) + IF(AE7="Y", AD7, 0)) / (IF(F7="Y", 1, 0) + IF(K7="Y", 1, 0) + IF(P7="Y", 1, 0) + IF(U7="Y", 1, 0) + IF(Z7="Y", 1, 0) + IF(AE7="Y", 1, 0))</f>
        <v>0.39683635853559912</v>
      </c>
      <c r="AI7" s="64">
        <f>(IF(F7="Y", C7, 0) + IF(K7="Y", H7, 0) + IF(P7="Y", M7, 0) + IF(U7="Y", R7, 0) + IF(Z7="Y", W7, 0) + IF(AE7="Y", AB7, 0)) / (IF(F7="Y", 1, 0) + IF(K7="Y", 1, 0) + IF(P7="Y", 1, 0) + IF(U7="Y", 1, 0) + IF(Z7="Y", 1, 0) + IF(AE7="Y", 1, 0))</f>
        <v>0.34399999999999997</v>
      </c>
      <c r="AJ7" s="64">
        <f>(EXP(2 * AG7) - 1) / (EXP(2 * AG7) + 1)</f>
        <v>0.37723877925437943</v>
      </c>
      <c r="AK7" s="58">
        <f>AJ7-SUSAN_ALL</f>
        <v>0</v>
      </c>
      <c r="AL7" s="30" t="s">
        <v>10</v>
      </c>
    </row>
    <row r="8" spans="1:38" s="17" customFormat="1">
      <c r="A8" s="62" t="s">
        <v>25</v>
      </c>
      <c r="B8" s="18" t="s">
        <v>2</v>
      </c>
      <c r="C8" s="60">
        <v>0.436</v>
      </c>
      <c r="D8" s="61">
        <v>3.5000000000000001E-3</v>
      </c>
      <c r="E8" s="61">
        <f t="shared" ref="E8:E44" si="0">0.5 * LN((1 + VALUE(C8)) / (1 - VALUE(C8)))</f>
        <v>0.46728124905505525</v>
      </c>
      <c r="F8" s="19" t="s">
        <v>79</v>
      </c>
      <c r="H8" s="60">
        <v>6.5000000000000002E-2</v>
      </c>
      <c r="I8" s="61">
        <v>0.54510000000000003</v>
      </c>
      <c r="J8" s="61">
        <f t="shared" ref="J8:J44" si="1">0.5 * LN((1 + VALUE(H8)) / (1 - VALUE(H8)))</f>
        <v>6.5091774427419202E-2</v>
      </c>
      <c r="K8" s="19"/>
      <c r="M8" s="60">
        <v>0.254</v>
      </c>
      <c r="N8" s="61">
        <v>0.1608</v>
      </c>
      <c r="O8" s="61">
        <f t="shared" ref="O8:O44" si="2">0.5 * LN((1 + VALUE(M8)) / (1 - VALUE(M8)))</f>
        <v>0.25968406049455256</v>
      </c>
      <c r="P8" s="19"/>
      <c r="R8" s="60">
        <v>0.38400000000000001</v>
      </c>
      <c r="S8" s="61">
        <v>4.3499999999999997E-2</v>
      </c>
      <c r="T8" s="61">
        <f t="shared" ref="T8:T44" si="3">0.5 * LN((1 + VALUE(R8)) / (1 - VALUE(R8)))</f>
        <v>0.40474308632204753</v>
      </c>
      <c r="U8" s="19" t="s">
        <v>79</v>
      </c>
      <c r="W8" s="60">
        <v>0.53900000000000003</v>
      </c>
      <c r="X8" s="61">
        <v>4.4999999999999997E-3</v>
      </c>
      <c r="Y8" s="61">
        <f t="shared" ref="Y8:Y44" si="4">0.5 * LN((1 + VALUE(W8)) / (1 - VALUE(W8)))</f>
        <v>0.6027450454211154</v>
      </c>
      <c r="Z8" s="19" t="s">
        <v>79</v>
      </c>
      <c r="AB8" s="60">
        <v>0.63200000000000001</v>
      </c>
      <c r="AC8" s="61">
        <v>0</v>
      </c>
      <c r="AD8" s="61">
        <f t="shared" ref="AD8:AD44" si="5">0.5 * LN((1 + VALUE(AB8)) / (1 - VALUE(AB8)))</f>
        <v>0.74473929867756072</v>
      </c>
      <c r="AE8" s="19" t="s">
        <v>79</v>
      </c>
      <c r="AG8" s="63">
        <f>(IF(F8="Y", E8, 0) + IF(K8="Y", J8, 0) + IF(P8="Y", O8, 0) + IF(U8="Y", T8, 0) + IF(Z8="Y", Y8, 0) + IF(AE8="Y", AD8, 0)) / (IF(F8="Y", 1, 0) + IF(K8="Y", 1, 0) + IF(P8="Y", 1, 0) + IF(U8="Y", 1, 0) + IF(Z8="Y", 1, 0) + IF(AE8="Y", 1, 0))</f>
        <v>0.55487716986894475</v>
      </c>
      <c r="AI8" s="64">
        <f>(IF(F8="Y", C8, 0) + IF(K8="Y", H8, 0) + IF(P8="Y", M8, 0) + IF(U8="Y", R8, 0) + IF(Z8="Y", W8, 0) + IF(AE8="Y", AB8, 0)) / (IF(F8="Y", 1, 0) + IF(K8="Y", 1, 0) + IF(P8="Y", 1, 0) + IF(U8="Y", 1, 0) + IF(Z8="Y", 1, 0) + IF(AE8="Y", 1, 0))</f>
        <v>0.49775000000000003</v>
      </c>
      <c r="AJ8" s="64">
        <f>(EXP(2 * AG8) - 1) / (EXP(2 * AG8) + 1)</f>
        <v>0.50416661987288003</v>
      </c>
      <c r="AK8" s="58">
        <f>AJ8-SUSAN_ALL</f>
        <v>0.1269278406185006</v>
      </c>
      <c r="AL8" s="30" t="s">
        <v>59</v>
      </c>
    </row>
    <row r="9" spans="1:38" s="17" customFormat="1">
      <c r="A9" s="62" t="s">
        <v>25</v>
      </c>
      <c r="B9" s="18" t="s">
        <v>14</v>
      </c>
      <c r="C9" s="60">
        <v>0.38300000000000001</v>
      </c>
      <c r="D9" s="61">
        <v>1.1299999999999999E-2</v>
      </c>
      <c r="E9" s="61">
        <f t="shared" si="0"/>
        <v>0.40357065387968516</v>
      </c>
      <c r="F9" s="19" t="s">
        <v>79</v>
      </c>
      <c r="H9" s="60">
        <v>0.155</v>
      </c>
      <c r="I9" s="61">
        <v>0.14910000000000001</v>
      </c>
      <c r="J9" s="61">
        <f t="shared" si="1"/>
        <v>0.15625949779936008</v>
      </c>
      <c r="K9" s="19"/>
      <c r="M9" s="60">
        <v>-0.25700000000000001</v>
      </c>
      <c r="N9" s="61">
        <v>0.15609999999999999</v>
      </c>
      <c r="O9" s="61">
        <f t="shared" si="2"/>
        <v>-0.26289358193624418</v>
      </c>
      <c r="P9" s="19"/>
      <c r="R9" s="60">
        <v>0.122</v>
      </c>
      <c r="S9" s="61">
        <v>0.51910000000000001</v>
      </c>
      <c r="T9" s="61">
        <f t="shared" si="3"/>
        <v>0.12261074622376246</v>
      </c>
      <c r="U9" s="19"/>
      <c r="W9" s="60">
        <v>0.32500000000000001</v>
      </c>
      <c r="X9" s="61">
        <v>0.1134</v>
      </c>
      <c r="Y9" s="61">
        <f t="shared" si="4"/>
        <v>0.33722752377389636</v>
      </c>
      <c r="Z9" s="19"/>
      <c r="AB9" s="60">
        <v>0.73199999999999998</v>
      </c>
      <c r="AC9" s="61">
        <v>0</v>
      </c>
      <c r="AD9" s="61">
        <f t="shared" si="5"/>
        <v>0.93302255430576186</v>
      </c>
      <c r="AE9" s="19" t="s">
        <v>79</v>
      </c>
      <c r="AG9" s="63">
        <f>(IF(F9="Y", E9, 0) + IF(K9="Y", J9, 0) + IF(P9="Y", O9, 0) + IF(U9="Y", T9, 0) + IF(Z9="Y", Y9, 0) + IF(AE9="Y", AD9, 0)) / (IF(F9="Y", 1, 0) + IF(K9="Y", 1, 0) + IF(P9="Y", 1, 0) + IF(U9="Y", 1, 0) + IF(Z9="Y", 1, 0) + IF(AE9="Y", 1, 0))</f>
        <v>0.66829660409272351</v>
      </c>
      <c r="AI9" s="64">
        <f>(IF(F9="Y", C9, 0) + IF(K9="Y", H9, 0) + IF(P9="Y", M9, 0) + IF(U9="Y", R9, 0) + IF(Z9="Y", W9, 0) + IF(AE9="Y", AB9, 0)) / (IF(F9="Y", 1, 0) + IF(K9="Y", 1, 0) + IF(P9="Y", 1, 0) + IF(U9="Y", 1, 0) + IF(Z9="Y", 1, 0) + IF(AE9="Y", 1, 0))</f>
        <v>0.5575</v>
      </c>
      <c r="AJ9" s="64">
        <f>(EXP(2 * AG9) - 1) / (EXP(2 * AG9) + 1)</f>
        <v>0.58385827500163889</v>
      </c>
      <c r="AK9" s="58">
        <f>AJ9-SUSAN_ALL</f>
        <v>0.20661949574725946</v>
      </c>
      <c r="AL9" s="32" t="s">
        <v>54</v>
      </c>
    </row>
    <row r="10" spans="1:38" s="17" customFormat="1">
      <c r="A10" s="62" t="s">
        <v>25</v>
      </c>
      <c r="B10" s="18" t="s">
        <v>15</v>
      </c>
      <c r="C10" s="60">
        <v>0.20399999999999999</v>
      </c>
      <c r="D10" s="61">
        <v>0.37390000000000001</v>
      </c>
      <c r="E10" s="61">
        <f t="shared" si="0"/>
        <v>0.20690272001219159</v>
      </c>
      <c r="F10" s="19"/>
      <c r="H10" s="60">
        <v>-0.19600000000000001</v>
      </c>
      <c r="I10" s="61">
        <v>5.7799999999999997E-2</v>
      </c>
      <c r="J10" s="61">
        <f t="shared" si="1"/>
        <v>-0.19856933266580526</v>
      </c>
      <c r="K10" s="19" t="s">
        <v>79</v>
      </c>
      <c r="M10" s="60">
        <v>0.26700000000000002</v>
      </c>
      <c r="N10" s="61">
        <v>0.1396</v>
      </c>
      <c r="O10" s="61">
        <f t="shared" si="2"/>
        <v>0.27363073921724373</v>
      </c>
      <c r="P10" s="19"/>
      <c r="R10" s="60">
        <v>0.10100000000000001</v>
      </c>
      <c r="S10" s="61">
        <v>0.59550000000000003</v>
      </c>
      <c r="T10" s="61">
        <f t="shared" si="3"/>
        <v>0.10134555112552979</v>
      </c>
      <c r="U10" s="19"/>
      <c r="W10" s="60">
        <v>0.51600000000000001</v>
      </c>
      <c r="X10" s="61">
        <v>7.0000000000000001E-3</v>
      </c>
      <c r="Y10" s="61">
        <f t="shared" si="4"/>
        <v>0.57087282974284259</v>
      </c>
      <c r="Z10" s="19" t="s">
        <v>79</v>
      </c>
      <c r="AB10" s="60">
        <v>0.49</v>
      </c>
      <c r="AC10" s="61">
        <v>0</v>
      </c>
      <c r="AD10" s="61">
        <f t="shared" si="5"/>
        <v>0.53606033661056662</v>
      </c>
      <c r="AE10" s="19" t="s">
        <v>79</v>
      </c>
      <c r="AG10" s="63">
        <f>(IF(F10="Y", E10, 0) + IF(K10="Y", J10, 0) + IF(P10="Y", O10, 0) + IF(U10="Y", T10, 0) + IF(Z10="Y", Y10, 0) + IF(AE10="Y", AD10, 0)) / (IF(F10="Y", 1, 0) + IF(K10="Y", 1, 0) + IF(P10="Y", 1, 0) + IF(U10="Y", 1, 0) + IF(Z10="Y", 1, 0) + IF(AE10="Y", 1, 0))</f>
        <v>0.30278794456253466</v>
      </c>
      <c r="AI10" s="64">
        <f>(IF(F10="Y", C10, 0) + IF(K10="Y", H10, 0) + IF(P10="Y", M10, 0) + IF(U10="Y", R10, 0) + IF(Z10="Y", W10, 0) + IF(AE10="Y", AB10, 0)) / (IF(F10="Y", 1, 0) + IF(K10="Y", 1, 0) + IF(P10="Y", 1, 0) + IF(U10="Y", 1, 0) + IF(Z10="Y", 1, 0) + IF(AE10="Y", 1, 0))</f>
        <v>0.27</v>
      </c>
      <c r="AJ10" s="64">
        <f>(EXP(2 * AG10) - 1) / (EXP(2 * AG10) + 1)</f>
        <v>0.29386188653629097</v>
      </c>
      <c r="AK10" s="58">
        <f>AJ10-SUSAN_ALL</f>
        <v>-8.3376892718088458E-2</v>
      </c>
      <c r="AL10" s="32" t="s">
        <v>55</v>
      </c>
    </row>
    <row r="11" spans="1:38" s="17" customFormat="1">
      <c r="A11" s="62" t="s">
        <v>25</v>
      </c>
      <c r="B11" s="18" t="s">
        <v>16</v>
      </c>
      <c r="C11" s="60">
        <v>-0.21299999999999999</v>
      </c>
      <c r="D11" s="61">
        <v>0.16980000000000001</v>
      </c>
      <c r="E11" s="61">
        <f t="shared" si="0"/>
        <v>-0.21631183026332343</v>
      </c>
      <c r="F11" s="19"/>
      <c r="H11" s="60">
        <v>-0.13</v>
      </c>
      <c r="I11" s="61">
        <v>0.2263</v>
      </c>
      <c r="J11" s="61">
        <f t="shared" si="1"/>
        <v>-0.13073985002887836</v>
      </c>
      <c r="K11" s="19"/>
      <c r="M11" s="60">
        <v>-0.129</v>
      </c>
      <c r="N11" s="61">
        <v>0.48309999999999997</v>
      </c>
      <c r="O11" s="61">
        <f t="shared" si="2"/>
        <v>-0.12972279364857964</v>
      </c>
      <c r="P11" s="19"/>
      <c r="R11" s="60">
        <v>0.23499999999999999</v>
      </c>
      <c r="S11" s="61">
        <v>0.22789999999999999</v>
      </c>
      <c r="T11" s="61">
        <f t="shared" si="3"/>
        <v>0.2394752076177708</v>
      </c>
      <c r="U11" s="19"/>
      <c r="W11" s="60">
        <v>0.48399999999999999</v>
      </c>
      <c r="X11" s="61">
        <v>1.2200000000000001E-2</v>
      </c>
      <c r="Y11" s="61">
        <f t="shared" si="4"/>
        <v>0.52819482912288152</v>
      </c>
      <c r="Z11" s="19" t="s">
        <v>79</v>
      </c>
      <c r="AB11" s="60">
        <v>0.66100000000000003</v>
      </c>
      <c r="AC11" s="61">
        <v>0</v>
      </c>
      <c r="AD11" s="61">
        <f t="shared" si="5"/>
        <v>0.7945875011164224</v>
      </c>
      <c r="AE11" s="19" t="s">
        <v>79</v>
      </c>
      <c r="AG11" s="63">
        <f>(IF(F11="Y", E11, 0) + IF(K11="Y", J11, 0) + IF(P11="Y", O11, 0) + IF(U11="Y", T11, 0) + IF(Z11="Y", Y11, 0) + IF(AE11="Y", AD11, 0)) / (IF(F11="Y", 1, 0) + IF(K11="Y", 1, 0) + IF(P11="Y", 1, 0) + IF(U11="Y", 1, 0) + IF(Z11="Y", 1, 0) + IF(AE11="Y", 1, 0))</f>
        <v>0.66139116511965201</v>
      </c>
      <c r="AI11" s="64">
        <f>(IF(F11="Y", C11, 0) + IF(K11="Y", H11, 0) + IF(P11="Y", M11, 0) + IF(U11="Y", R11, 0) + IF(Z11="Y", W11, 0) + IF(AE11="Y", AB11, 0)) / (IF(F11="Y", 1, 0) + IF(K11="Y", 1, 0) + IF(P11="Y", 1, 0) + IF(U11="Y", 1, 0) + IF(Z11="Y", 1, 0) + IF(AE11="Y", 1, 0))</f>
        <v>0.57250000000000001</v>
      </c>
      <c r="AJ11" s="64">
        <f>(EXP(2 * AG11) - 1) / (EXP(2 * AG11) + 1)</f>
        <v>0.57928848262966048</v>
      </c>
      <c r="AK11" s="58">
        <f>AJ11-SUSAN_ALL</f>
        <v>0.20204970337528105</v>
      </c>
      <c r="AL11" s="32" t="s">
        <v>56</v>
      </c>
    </row>
    <row r="12" spans="1:38" s="17" customFormat="1">
      <c r="A12" s="62" t="s">
        <v>25</v>
      </c>
      <c r="B12" s="18" t="s">
        <v>5</v>
      </c>
      <c r="C12" s="60">
        <v>5.3999999999999999E-2</v>
      </c>
      <c r="D12" s="61">
        <v>0.73</v>
      </c>
      <c r="E12" s="61">
        <f t="shared" si="0"/>
        <v>5.4052580024714761E-2</v>
      </c>
      <c r="F12" s="19"/>
      <c r="H12" s="60">
        <v>0.24399999999999999</v>
      </c>
      <c r="I12" s="61">
        <v>2.1899999999999999E-2</v>
      </c>
      <c r="J12" s="61">
        <f t="shared" si="1"/>
        <v>0.2490229485597959</v>
      </c>
      <c r="K12" s="19" t="s">
        <v>79</v>
      </c>
      <c r="M12" s="60">
        <v>-6.8000000000000005E-2</v>
      </c>
      <c r="N12" s="61">
        <v>0.71089999999999998</v>
      </c>
      <c r="O12" s="61">
        <f t="shared" si="2"/>
        <v>-6.8105102417274535E-2</v>
      </c>
      <c r="P12" s="19"/>
      <c r="R12" s="60"/>
      <c r="S12" s="61"/>
      <c r="T12" s="61"/>
      <c r="U12" s="19"/>
      <c r="W12" s="60">
        <v>0.41099999999999998</v>
      </c>
      <c r="X12" s="61">
        <v>3.6799999999999999E-2</v>
      </c>
      <c r="Y12" s="61">
        <f t="shared" si="4"/>
        <v>0.43681388410061367</v>
      </c>
      <c r="Z12" s="19" t="s">
        <v>79</v>
      </c>
      <c r="AB12" s="60">
        <v>0.85199999999999998</v>
      </c>
      <c r="AC12" s="61">
        <v>0</v>
      </c>
      <c r="AD12" s="61">
        <f t="shared" si="5"/>
        <v>1.2634045707210046</v>
      </c>
      <c r="AE12" s="19" t="s">
        <v>79</v>
      </c>
      <c r="AG12" s="63">
        <f>(IF(F12="Y", E12, 0) + IF(K12="Y", J12, 0) + IF(P12="Y", O12, 0) + IF(U12="Y", T12, 0) + IF(Z12="Y", Y12, 0) + IF(AE12="Y", AD12, 0)) / (IF(F12="Y", 1, 0) + IF(K12="Y", 1, 0) + IF(P12="Y", 1, 0) + IF(U12="Y", 1, 0) + IF(Z12="Y", 1, 0) + IF(AE12="Y", 1, 0))</f>
        <v>0.64974713446047139</v>
      </c>
      <c r="AI12" s="64">
        <f>(IF(F12="Y", C12, 0) + IF(K12="Y", H12, 0) + IF(P12="Y", M12, 0) + IF(U12="Y", R12, 0) + IF(Z12="Y", W12, 0) + IF(AE12="Y", AB12, 0)) / (IF(F12="Y", 1, 0) + IF(K12="Y", 1, 0) + IF(P12="Y", 1, 0) + IF(U12="Y", 1, 0) + IF(Z12="Y", 1, 0) + IF(AE12="Y", 1, 0))</f>
        <v>0.50233333333333341</v>
      </c>
      <c r="AJ12" s="64">
        <f>(EXP(2 * AG12) - 1) / (EXP(2 * AG12) + 1)</f>
        <v>0.57149971405294531</v>
      </c>
      <c r="AK12" s="58">
        <f>AJ12-SUSAN_ALL</f>
        <v>0.19426093479856588</v>
      </c>
      <c r="AL12" s="32" t="s">
        <v>58</v>
      </c>
    </row>
    <row r="13" spans="1:38" s="17" customFormat="1">
      <c r="A13" s="62" t="s">
        <v>25</v>
      </c>
      <c r="B13" s="18" t="s">
        <v>6</v>
      </c>
      <c r="C13" s="60">
        <v>0.14000000000000001</v>
      </c>
      <c r="D13" s="61">
        <v>0.371</v>
      </c>
      <c r="E13" s="61">
        <f t="shared" si="0"/>
        <v>0.14092557607049391</v>
      </c>
      <c r="F13" s="19"/>
      <c r="H13" s="60">
        <v>0.29599999999999999</v>
      </c>
      <c r="I13" s="61">
        <v>5.1000000000000004E-3</v>
      </c>
      <c r="J13" s="61">
        <f t="shared" si="1"/>
        <v>0.30512976037708883</v>
      </c>
      <c r="K13" s="19" t="s">
        <v>79</v>
      </c>
      <c r="M13" s="60">
        <v>1.6E-2</v>
      </c>
      <c r="N13" s="61">
        <v>0.93259999999999998</v>
      </c>
      <c r="O13" s="61">
        <f t="shared" si="2"/>
        <v>1.6001365543086867E-2</v>
      </c>
      <c r="P13" s="19"/>
      <c r="R13" s="60">
        <v>-6.9000000000000006E-2</v>
      </c>
      <c r="S13" s="61">
        <v>0.73350000000000004</v>
      </c>
      <c r="T13" s="61">
        <f t="shared" si="3"/>
        <v>-6.9109816873989025E-2</v>
      </c>
      <c r="U13" s="19"/>
      <c r="W13" s="60">
        <v>0.4</v>
      </c>
      <c r="X13" s="61">
        <v>4.2900000000000001E-2</v>
      </c>
      <c r="Y13" s="61">
        <f t="shared" si="4"/>
        <v>0.42364893019360184</v>
      </c>
      <c r="Z13" s="19" t="s">
        <v>79</v>
      </c>
      <c r="AB13" s="60">
        <v>0.97</v>
      </c>
      <c r="AC13" s="61">
        <v>0</v>
      </c>
      <c r="AD13" s="61">
        <f t="shared" si="5"/>
        <v>2.0922957200349388</v>
      </c>
      <c r="AE13" s="19" t="s">
        <v>79</v>
      </c>
      <c r="AG13" s="63">
        <f>(IF(F13="Y", E13, 0) + IF(K13="Y", J13, 0) + IF(P13="Y", O13, 0) + IF(U13="Y", T13, 0) + IF(Z13="Y", Y13, 0) + IF(AE13="Y", AD13, 0)) / (IF(F13="Y", 1, 0) + IF(K13="Y", 1, 0) + IF(P13="Y", 1, 0) + IF(U13="Y", 1, 0) + IF(Z13="Y", 1, 0) + IF(AE13="Y", 1, 0))</f>
        <v>0.94035813686854308</v>
      </c>
      <c r="AI13" s="64">
        <f>(IF(F13="Y", C13, 0) + IF(K13="Y", H13, 0) + IF(P13="Y", M13, 0) + IF(U13="Y", R13, 0) + IF(Z13="Y", W13, 0) + IF(AE13="Y", AB13, 0)) / (IF(F13="Y", 1, 0) + IF(K13="Y", 1, 0) + IF(P13="Y", 1, 0) + IF(U13="Y", 1, 0) + IF(Z13="Y", 1, 0) + IF(AE13="Y", 1, 0))</f>
        <v>0.55533333333333335</v>
      </c>
      <c r="AJ13" s="64">
        <f>(EXP(2 * AG13) - 1) / (EXP(2 * AG13) + 1)</f>
        <v>0.73538675494728178</v>
      </c>
      <c r="AK13" s="58">
        <f>AJ13-SUSAN_ALL</f>
        <v>0.35814797569290235</v>
      </c>
      <c r="AL13" s="32" t="s">
        <v>43</v>
      </c>
    </row>
    <row r="14" spans="1:38" s="17" customFormat="1">
      <c r="A14" s="62" t="s">
        <v>25</v>
      </c>
      <c r="B14" s="18" t="s">
        <v>7</v>
      </c>
      <c r="C14" s="60">
        <v>0.158</v>
      </c>
      <c r="D14" s="61">
        <v>0.31209999999999999</v>
      </c>
      <c r="E14" s="61">
        <f t="shared" si="0"/>
        <v>0.15933482194530688</v>
      </c>
      <c r="F14" s="19"/>
      <c r="H14" s="60">
        <v>-6.0000000000000001E-3</v>
      </c>
      <c r="I14" s="61">
        <v>0.95569999999999999</v>
      </c>
      <c r="J14" s="61">
        <f t="shared" si="1"/>
        <v>-6.0000720015552607E-3</v>
      </c>
      <c r="K14" s="19"/>
      <c r="M14" s="60">
        <v>0.185</v>
      </c>
      <c r="N14" s="61">
        <v>0.31109999999999999</v>
      </c>
      <c r="O14" s="61">
        <f t="shared" si="2"/>
        <v>0.18715497016418453</v>
      </c>
      <c r="P14" s="19"/>
      <c r="R14" s="60">
        <v>0.1</v>
      </c>
      <c r="S14" s="61">
        <v>0.60509999999999997</v>
      </c>
      <c r="T14" s="61">
        <f t="shared" si="3"/>
        <v>0.10033534773107562</v>
      </c>
      <c r="U14" s="19"/>
      <c r="W14" s="60">
        <v>0.60399999999999998</v>
      </c>
      <c r="X14" s="61">
        <v>1.1000000000000001E-3</v>
      </c>
      <c r="Y14" s="61">
        <f t="shared" si="4"/>
        <v>0.69942078858598955</v>
      </c>
      <c r="Z14" s="19" t="s">
        <v>79</v>
      </c>
      <c r="AB14" s="60">
        <v>0.74099999999999999</v>
      </c>
      <c r="AC14" s="61">
        <v>0</v>
      </c>
      <c r="AD14" s="61">
        <f t="shared" si="5"/>
        <v>0.95269343903432568</v>
      </c>
      <c r="AE14" s="19" t="s">
        <v>79</v>
      </c>
      <c r="AG14" s="63">
        <f>(IF(F14="Y", E14, 0) + IF(K14="Y", J14, 0) + IF(P14="Y", O14, 0) + IF(U14="Y", T14, 0) + IF(Z14="Y", Y14, 0) + IF(AE14="Y", AD14, 0)) / (IF(F14="Y", 1, 0) + IF(K14="Y", 1, 0) + IF(P14="Y", 1, 0) + IF(U14="Y", 1, 0) + IF(Z14="Y", 1, 0) + IF(AE14="Y", 1, 0))</f>
        <v>0.82605711381015756</v>
      </c>
      <c r="AI14" s="64">
        <f>(IF(F14="Y", C14, 0) + IF(K14="Y", H14, 0) + IF(P14="Y", M14, 0) + IF(U14="Y", R14, 0) + IF(Z14="Y", W14, 0) + IF(AE14="Y", AB14, 0)) / (IF(F14="Y", 1, 0) + IF(K14="Y", 1, 0) + IF(P14="Y", 1, 0) + IF(U14="Y", 1, 0) + IF(Z14="Y", 1, 0) + IF(AE14="Y", 1, 0))</f>
        <v>0.67249999999999999</v>
      </c>
      <c r="AJ14" s="64">
        <f>(EXP(2 * AG14) - 1) / (EXP(2 * AG14) + 1)</f>
        <v>0.67835317926251881</v>
      </c>
      <c r="AK14" s="58">
        <f>AJ14-SUSAN_ALL</f>
        <v>0.30111440000813938</v>
      </c>
      <c r="AL14" s="32" t="s">
        <v>44</v>
      </c>
    </row>
    <row r="15" spans="1:38" s="17" customFormat="1">
      <c r="A15" s="62" t="s">
        <v>25</v>
      </c>
      <c r="B15" s="18" t="s">
        <v>8</v>
      </c>
      <c r="C15" s="60">
        <v>-0.17299999999999999</v>
      </c>
      <c r="D15" s="61">
        <v>0.26619999999999999</v>
      </c>
      <c r="E15" s="61">
        <f t="shared" si="0"/>
        <v>-0.1747575768148921</v>
      </c>
      <c r="F15" s="19"/>
      <c r="H15" s="60">
        <v>0.24</v>
      </c>
      <c r="I15" s="61">
        <v>2.4500000000000001E-2</v>
      </c>
      <c r="J15" s="61">
        <f t="shared" si="1"/>
        <v>0.24477411265935289</v>
      </c>
      <c r="K15" s="19" t="s">
        <v>79</v>
      </c>
      <c r="M15" s="60">
        <v>-0.33</v>
      </c>
      <c r="N15" s="61">
        <v>6.5100000000000005E-2</v>
      </c>
      <c r="O15" s="61">
        <f t="shared" si="2"/>
        <v>-0.34282825441539394</v>
      </c>
      <c r="P15" s="19" t="s">
        <v>79</v>
      </c>
      <c r="R15" s="60">
        <v>0.55500000000000005</v>
      </c>
      <c r="S15" s="61">
        <v>2.2000000000000001E-3</v>
      </c>
      <c r="T15" s="61">
        <f t="shared" si="3"/>
        <v>0.62557827122354726</v>
      </c>
      <c r="U15" s="19" t="s">
        <v>79</v>
      </c>
      <c r="W15" s="60">
        <v>0.78200000000000003</v>
      </c>
      <c r="X15" s="61">
        <v>0</v>
      </c>
      <c r="Y15" s="61">
        <f t="shared" si="4"/>
        <v>1.050498272620833</v>
      </c>
      <c r="Z15" s="19" t="s">
        <v>79</v>
      </c>
      <c r="AB15" s="60">
        <v>0.69799999999999995</v>
      </c>
      <c r="AC15" s="61">
        <v>0</v>
      </c>
      <c r="AD15" s="61">
        <f t="shared" si="5"/>
        <v>0.86338967474821138</v>
      </c>
      <c r="AE15" s="19" t="s">
        <v>79</v>
      </c>
      <c r="AG15" s="63">
        <f>(IF(F15="Y", E15, 0) + IF(K15="Y", J15, 0) + IF(P15="Y", O15, 0) + IF(U15="Y", T15, 0) + IF(Z15="Y", Y15, 0) + IF(AE15="Y", AD15, 0)) / (IF(F15="Y", 1, 0) + IF(K15="Y", 1, 0) + IF(P15="Y", 1, 0) + IF(U15="Y", 1, 0) + IF(Z15="Y", 1, 0) + IF(AE15="Y", 1, 0))</f>
        <v>0.4882824153673101</v>
      </c>
      <c r="AI15" s="64">
        <f>(IF(F15="Y", C15, 0) + IF(K15="Y", H15, 0) + IF(P15="Y", M15, 0) + IF(U15="Y", R15, 0) + IF(Z15="Y", W15, 0) + IF(AE15="Y", AB15, 0)) / (IF(F15="Y", 1, 0) + IF(K15="Y", 1, 0) + IF(P15="Y", 1, 0) + IF(U15="Y", 1, 0) + IF(Z15="Y", 1, 0) + IF(AE15="Y", 1, 0))</f>
        <v>0.38900000000000001</v>
      </c>
      <c r="AJ15" s="64">
        <f>(EXP(2 * AG15) - 1) / (EXP(2 * AG15) + 1)</f>
        <v>0.45285214433040366</v>
      </c>
      <c r="AK15" s="58">
        <f>AJ15-SUSAN_ALL</f>
        <v>7.561336507602423E-2</v>
      </c>
      <c r="AL15" s="32" t="s">
        <v>45</v>
      </c>
    </row>
    <row r="16" spans="1:38" s="17" customFormat="1">
      <c r="A16" s="62"/>
      <c r="B16" s="18"/>
      <c r="C16" s="60"/>
      <c r="D16" s="61"/>
      <c r="E16" s="61"/>
      <c r="F16" s="19"/>
      <c r="H16" s="60"/>
      <c r="I16" s="61"/>
      <c r="J16" s="61"/>
      <c r="K16" s="19"/>
      <c r="M16" s="60"/>
      <c r="N16" s="61"/>
      <c r="O16" s="61"/>
      <c r="P16" s="19"/>
      <c r="R16" s="60"/>
      <c r="S16" s="61"/>
      <c r="T16" s="61"/>
      <c r="U16" s="19"/>
      <c r="W16" s="60"/>
      <c r="X16" s="61"/>
      <c r="Y16" s="61"/>
      <c r="Z16" s="19"/>
      <c r="AB16" s="60"/>
      <c r="AC16" s="61"/>
      <c r="AD16" s="61"/>
      <c r="AE16" s="19"/>
      <c r="AG16" s="63"/>
      <c r="AI16" s="64"/>
      <c r="AJ16" s="64"/>
      <c r="AK16" s="58"/>
      <c r="AL16" s="32"/>
    </row>
    <row r="17" spans="1:38" s="17" customFormat="1">
      <c r="A17" s="62" t="s">
        <v>27</v>
      </c>
      <c r="B17" s="18" t="s">
        <v>10</v>
      </c>
      <c r="C17" s="60">
        <v>0.36199999999999999</v>
      </c>
      <c r="D17" s="61">
        <v>0</v>
      </c>
      <c r="E17" s="61">
        <f t="shared" si="0"/>
        <v>0.37918560168233389</v>
      </c>
      <c r="F17" s="19" t="s">
        <v>79</v>
      </c>
      <c r="H17" s="60">
        <v>0.20399999999999999</v>
      </c>
      <c r="I17" s="61">
        <v>5.9999999999999995E-4</v>
      </c>
      <c r="J17" s="61">
        <f t="shared" si="1"/>
        <v>0.20690272001219159</v>
      </c>
      <c r="K17" s="19" t="s">
        <v>79</v>
      </c>
      <c r="M17" s="60">
        <v>0.08</v>
      </c>
      <c r="N17" s="61">
        <v>0.13700000000000001</v>
      </c>
      <c r="O17" s="61">
        <f t="shared" si="2"/>
        <v>8.0171325037589738E-2</v>
      </c>
      <c r="P17" s="19"/>
      <c r="R17" s="60">
        <v>0.34699999999999998</v>
      </c>
      <c r="S17" s="61">
        <v>0</v>
      </c>
      <c r="T17" s="61">
        <f t="shared" si="3"/>
        <v>0.36202902356696642</v>
      </c>
      <c r="U17" s="19" t="s">
        <v>79</v>
      </c>
      <c r="W17" s="60">
        <v>0.64900000000000002</v>
      </c>
      <c r="X17" s="61">
        <v>0</v>
      </c>
      <c r="Y17" s="61">
        <f t="shared" si="4"/>
        <v>0.77356904954686667</v>
      </c>
      <c r="Z17" s="19" t="s">
        <v>79</v>
      </c>
      <c r="AB17" s="60">
        <v>0.66200000000000003</v>
      </c>
      <c r="AC17" s="61">
        <v>0</v>
      </c>
      <c r="AD17" s="61">
        <f t="shared" si="5"/>
        <v>0.79636553996618731</v>
      </c>
      <c r="AE17" s="19" t="s">
        <v>79</v>
      </c>
      <c r="AG17" s="63">
        <f>(IF(F17="Y", E17, 0) + IF(K17="Y", J17, 0) + IF(P17="Y", O17, 0) + IF(U17="Y", T17, 0) + IF(Z17="Y", Y17, 0) + IF(AE17="Y", AD17, 0)) / (IF(F17="Y", 1, 0) + IF(K17="Y", 1, 0) + IF(P17="Y", 1, 0) + IF(U17="Y", 1, 0) + IF(Z17="Y", 1, 0) + IF(AE17="Y", 1, 0))</f>
        <v>0.50361038695490912</v>
      </c>
      <c r="AI17" s="64">
        <f>(IF(F17="Y", C17, 0) + IF(K17="Y", H17, 0) + IF(P17="Y", M17, 0) + IF(U17="Y", R17, 0) + IF(Z17="Y", W17, 0) + IF(AE17="Y", AB17, 0)) / (IF(F17="Y", 1, 0) + IF(K17="Y", 1, 0) + IF(P17="Y", 1, 0) + IF(U17="Y", 1, 0) + IF(Z17="Y", 1, 0) + IF(AE17="Y", 1, 0))</f>
        <v>0.44479999999999997</v>
      </c>
      <c r="AJ17" s="64">
        <f>(EXP(2 * AG17) - 1) / (EXP(2 * AG17) + 1)</f>
        <v>0.46495179620614374</v>
      </c>
      <c r="AK17" s="58">
        <f>AJ17-ADAM_ALL</f>
        <v>0</v>
      </c>
      <c r="AL17" s="30" t="s">
        <v>10</v>
      </c>
    </row>
    <row r="18" spans="1:38" s="17" customFormat="1">
      <c r="A18" s="62" t="s">
        <v>27</v>
      </c>
      <c r="B18" s="18" t="s">
        <v>0</v>
      </c>
      <c r="C18" s="60">
        <v>0.161</v>
      </c>
      <c r="D18" s="61">
        <v>0.39539999999999997</v>
      </c>
      <c r="E18" s="61">
        <f t="shared" si="0"/>
        <v>0.16241313761534271</v>
      </c>
      <c r="F18" s="19"/>
      <c r="H18" s="60">
        <v>0.60699999999999998</v>
      </c>
      <c r="I18" s="61">
        <v>5.0000000000000001E-4</v>
      </c>
      <c r="J18" s="61">
        <f t="shared" si="1"/>
        <v>0.70415737693412572</v>
      </c>
      <c r="K18" s="19" t="s">
        <v>79</v>
      </c>
      <c r="M18" s="60">
        <v>0.11799999999999999</v>
      </c>
      <c r="N18" s="61">
        <v>0.48699999999999999</v>
      </c>
      <c r="O18" s="61">
        <f t="shared" si="2"/>
        <v>0.11855229885412649</v>
      </c>
      <c r="P18" s="19"/>
      <c r="R18" s="60">
        <v>0.17699999999999999</v>
      </c>
      <c r="S18" s="61">
        <v>0.30209999999999998</v>
      </c>
      <c r="T18" s="61">
        <f t="shared" si="3"/>
        <v>0.1788839532916035</v>
      </c>
      <c r="U18" s="19"/>
      <c r="W18" s="60">
        <v>0.63700000000000001</v>
      </c>
      <c r="X18" s="61">
        <v>0</v>
      </c>
      <c r="Y18" s="61">
        <f t="shared" si="4"/>
        <v>0.7531088715531421</v>
      </c>
      <c r="Z18" s="19" t="s">
        <v>79</v>
      </c>
      <c r="AB18" s="60">
        <v>0.436</v>
      </c>
      <c r="AC18" s="61">
        <v>4.2599999999999999E-2</v>
      </c>
      <c r="AD18" s="61">
        <f t="shared" si="5"/>
        <v>0.46728124905505525</v>
      </c>
      <c r="AE18" s="19" t="s">
        <v>79</v>
      </c>
      <c r="AG18" s="63">
        <f>(IF(F18="Y", E18, 0) + IF(K18="Y", J18, 0) + IF(P18="Y", O18, 0) + IF(U18="Y", T18, 0) + IF(Z18="Y", Y18, 0) + IF(AE18="Y", AD18, 0)) / (IF(F18="Y", 1, 0) + IF(K18="Y", 1, 0) + IF(P18="Y", 1, 0) + IF(U18="Y", 1, 0) + IF(Z18="Y", 1, 0) + IF(AE18="Y", 1, 0))</f>
        <v>0.64151583251410771</v>
      </c>
      <c r="AI18" s="64">
        <f>(IF(F18="Y", C18, 0) + IF(K18="Y", H18, 0) + IF(P18="Y", M18, 0) + IF(U18="Y", R18, 0) + IF(Z18="Y", W18, 0) + IF(AE18="Y", AB18, 0)) / (IF(F18="Y", 1, 0) + IF(K18="Y", 1, 0) + IF(P18="Y", 1, 0) + IF(U18="Y", 1, 0) + IF(Z18="Y", 1, 0) + IF(AE18="Y", 1, 0))</f>
        <v>0.55999999999999994</v>
      </c>
      <c r="AJ18" s="64">
        <f>(EXP(2 * AG18) - 1) / (EXP(2 * AG18) + 1)</f>
        <v>0.56593078194151891</v>
      </c>
      <c r="AK18" s="58">
        <f>AJ18-ADAM_ALL</f>
        <v>0.10097898573537517</v>
      </c>
      <c r="AL18" s="32" t="s">
        <v>60</v>
      </c>
    </row>
    <row r="19" spans="1:38" s="17" customFormat="1">
      <c r="A19" s="62" t="s">
        <v>27</v>
      </c>
      <c r="B19" s="18" t="s">
        <v>1</v>
      </c>
      <c r="C19" s="60">
        <v>0.39500000000000002</v>
      </c>
      <c r="D19" s="61">
        <v>0.14530000000000001</v>
      </c>
      <c r="E19" s="61">
        <f t="shared" si="0"/>
        <v>0.4177106181123123</v>
      </c>
      <c r="F19" s="19"/>
      <c r="H19" s="60">
        <v>0.55600000000000005</v>
      </c>
      <c r="I19" s="61">
        <v>2.0400000000000001E-2</v>
      </c>
      <c r="J19" s="61">
        <f t="shared" si="1"/>
        <v>0.62702457115305621</v>
      </c>
      <c r="K19" s="19" t="s">
        <v>79</v>
      </c>
      <c r="M19" s="60">
        <v>0.13100000000000001</v>
      </c>
      <c r="N19" s="61">
        <v>0.5827</v>
      </c>
      <c r="O19" s="61">
        <f t="shared" si="2"/>
        <v>0.13175717542536419</v>
      </c>
      <c r="P19" s="19"/>
      <c r="R19" s="60">
        <v>-0.129</v>
      </c>
      <c r="S19" s="61">
        <v>0.56810000000000005</v>
      </c>
      <c r="T19" s="61">
        <f t="shared" si="3"/>
        <v>-0.12972279364857964</v>
      </c>
      <c r="U19" s="19"/>
      <c r="W19" s="60">
        <v>0.48799999999999999</v>
      </c>
      <c r="X19" s="61">
        <v>1.14E-2</v>
      </c>
      <c r="Y19" s="61">
        <f t="shared" si="4"/>
        <v>0.53343179517676464</v>
      </c>
      <c r="Z19" s="19" t="s">
        <v>79</v>
      </c>
      <c r="AB19" s="60">
        <v>0.59799999999999998</v>
      </c>
      <c r="AC19" s="61">
        <v>8.8000000000000005E-3</v>
      </c>
      <c r="AD19" s="61">
        <f t="shared" si="5"/>
        <v>0.69002801885359943</v>
      </c>
      <c r="AE19" s="19" t="s">
        <v>79</v>
      </c>
      <c r="AG19" s="63">
        <f>(IF(F19="Y", E19, 0) + IF(K19="Y", J19, 0) + IF(P19="Y", O19, 0) + IF(U19="Y", T19, 0) + IF(Z19="Y", Y19, 0) + IF(AE19="Y", AD19, 0)) / (IF(F19="Y", 1, 0) + IF(K19="Y", 1, 0) + IF(P19="Y", 1, 0) + IF(U19="Y", 1, 0) + IF(Z19="Y", 1, 0) + IF(AE19="Y", 1, 0))</f>
        <v>0.61682812839447343</v>
      </c>
      <c r="AI19" s="64">
        <f>(IF(F19="Y", C19, 0) + IF(K19="Y", H19, 0) + IF(P19="Y", M19, 0) + IF(U19="Y", R19, 0) + IF(Z19="Y", W19, 0) + IF(AE19="Y", AB19, 0)) / (IF(F19="Y", 1, 0) + IF(K19="Y", 1, 0) + IF(P19="Y", 1, 0) + IF(U19="Y", 1, 0) + IF(Z19="Y", 1, 0) + IF(AE19="Y", 1, 0))</f>
        <v>0.54733333333333334</v>
      </c>
      <c r="AJ19" s="64">
        <f>(EXP(2 * AG19) - 1) / (EXP(2 * AG19) + 1)</f>
        <v>0.5489157279674618</v>
      </c>
      <c r="AK19" s="58">
        <f>AJ19-ADAM_ALL</f>
        <v>8.3963931761318056E-2</v>
      </c>
      <c r="AL19" s="32" t="s">
        <v>96</v>
      </c>
    </row>
    <row r="20" spans="1:38" s="17" customFormat="1">
      <c r="A20" s="62" t="s">
        <v>27</v>
      </c>
      <c r="B20" s="18" t="s">
        <v>2</v>
      </c>
      <c r="C20" s="60">
        <v>0.56999999999999995</v>
      </c>
      <c r="D20" s="61">
        <v>1E-3</v>
      </c>
      <c r="E20" s="61">
        <f t="shared" si="0"/>
        <v>0.64752284482737277</v>
      </c>
      <c r="F20" s="19" t="s">
        <v>79</v>
      </c>
      <c r="H20" s="60">
        <v>0.54200000000000004</v>
      </c>
      <c r="I20" s="61">
        <v>2.3999999999999998E-3</v>
      </c>
      <c r="J20" s="61">
        <f t="shared" si="1"/>
        <v>0.60698318500454496</v>
      </c>
      <c r="K20" s="19" t="s">
        <v>79</v>
      </c>
      <c r="M20" s="60">
        <v>0.35499999999999998</v>
      </c>
      <c r="N20" s="61">
        <v>3.1300000000000001E-2</v>
      </c>
      <c r="O20" s="61">
        <f t="shared" si="2"/>
        <v>0.37115320825901432</v>
      </c>
      <c r="P20" s="19" t="s">
        <v>79</v>
      </c>
      <c r="R20" s="60">
        <v>0.307</v>
      </c>
      <c r="S20" s="61">
        <v>6.83E-2</v>
      </c>
      <c r="T20" s="61">
        <f t="shared" si="3"/>
        <v>0.31722985721715929</v>
      </c>
      <c r="U20" s="19" t="s">
        <v>79</v>
      </c>
      <c r="W20" s="60">
        <v>0.61399999999999999</v>
      </c>
      <c r="X20" s="61">
        <v>0</v>
      </c>
      <c r="Y20" s="61">
        <f t="shared" si="4"/>
        <v>0.71531673968253162</v>
      </c>
      <c r="Z20" s="19" t="s">
        <v>79</v>
      </c>
      <c r="AB20" s="60">
        <v>0.83799999999999997</v>
      </c>
      <c r="AC20" s="61">
        <v>0</v>
      </c>
      <c r="AD20" s="61">
        <f t="shared" si="5"/>
        <v>1.2144184838416241</v>
      </c>
      <c r="AE20" s="19" t="s">
        <v>79</v>
      </c>
      <c r="AG20" s="63">
        <f>(IF(F20="Y", E20, 0) + IF(K20="Y", J20, 0) + IF(P20="Y", O20, 0) + IF(U20="Y", T20, 0) + IF(Z20="Y", Y20, 0) + IF(AE20="Y", AD20, 0)) / (IF(F20="Y", 1, 0) + IF(K20="Y", 1, 0) + IF(P20="Y", 1, 0) + IF(U20="Y", 1, 0) + IF(Z20="Y", 1, 0) + IF(AE20="Y", 1, 0))</f>
        <v>0.64543738647204119</v>
      </c>
      <c r="AI20" s="64">
        <f>(IF(F20="Y", C20, 0) + IF(K20="Y", H20, 0) + IF(P20="Y", M20, 0) + IF(U20="Y", R20, 0) + IF(Z20="Y", W20, 0) + IF(AE20="Y", AB20, 0)) / (IF(F20="Y", 1, 0) + IF(K20="Y", 1, 0) + IF(P20="Y", 1, 0) + IF(U20="Y", 1, 0) + IF(Z20="Y", 1, 0) + IF(AE20="Y", 1, 0))</f>
        <v>0.53766666666666663</v>
      </c>
      <c r="AJ20" s="64">
        <f>(EXP(2 * AG20) - 1) / (EXP(2 * AG20) + 1)</f>
        <v>0.56859043354025474</v>
      </c>
      <c r="AK20" s="58">
        <f>AJ20-ADAM_ALL</f>
        <v>0.10363863733411099</v>
      </c>
      <c r="AL20" s="32" t="s">
        <v>59</v>
      </c>
    </row>
    <row r="21" spans="1:38" s="17" customFormat="1">
      <c r="A21" s="62" t="s">
        <v>27</v>
      </c>
      <c r="B21" s="18" t="s">
        <v>3</v>
      </c>
      <c r="C21" s="60">
        <v>0.35099999999999998</v>
      </c>
      <c r="D21" s="61">
        <v>5.7500000000000002E-2</v>
      </c>
      <c r="E21" s="61">
        <f t="shared" si="0"/>
        <v>0.36658381062805434</v>
      </c>
      <c r="F21" s="19" t="s">
        <v>79</v>
      </c>
      <c r="H21" s="60">
        <v>0.13200000000000001</v>
      </c>
      <c r="I21" s="61">
        <v>0.4965</v>
      </c>
      <c r="J21" s="61">
        <f t="shared" si="1"/>
        <v>0.13277477205138913</v>
      </c>
      <c r="K21" s="19"/>
      <c r="M21" s="60">
        <v>7.2999999999999995E-2</v>
      </c>
      <c r="N21" s="61">
        <v>0.66620000000000001</v>
      </c>
      <c r="O21" s="61">
        <f t="shared" si="2"/>
        <v>7.3130088532421644E-2</v>
      </c>
      <c r="P21" s="19"/>
      <c r="R21" s="60">
        <v>0.30499999999999999</v>
      </c>
      <c r="S21" s="61">
        <v>7.0000000000000007E-2</v>
      </c>
      <c r="T21" s="61">
        <f t="shared" si="3"/>
        <v>0.31502323709600072</v>
      </c>
      <c r="U21" s="19" t="s">
        <v>79</v>
      </c>
      <c r="W21" s="60">
        <v>0.57299999999999995</v>
      </c>
      <c r="X21" s="61">
        <v>1E-4</v>
      </c>
      <c r="Y21" s="61">
        <f t="shared" si="4"/>
        <v>0.65197794491482652</v>
      </c>
      <c r="Z21" s="19" t="s">
        <v>79</v>
      </c>
      <c r="AB21" s="60">
        <v>0.61199999999999999</v>
      </c>
      <c r="AC21" s="61">
        <v>2.5000000000000001E-3</v>
      </c>
      <c r="AD21" s="61">
        <f t="shared" si="5"/>
        <v>0.7121127917216501</v>
      </c>
      <c r="AE21" s="19" t="s">
        <v>79</v>
      </c>
      <c r="AG21" s="63">
        <f>(IF(F21="Y", E21, 0) + IF(K21="Y", J21, 0) + IF(P21="Y", O21, 0) + IF(U21="Y", T21, 0) + IF(Z21="Y", Y21, 0) + IF(AE21="Y", AD21, 0)) / (IF(F21="Y", 1, 0) + IF(K21="Y", 1, 0) + IF(P21="Y", 1, 0) + IF(U21="Y", 1, 0) + IF(Z21="Y", 1, 0) + IF(AE21="Y", 1, 0))</f>
        <v>0.51142444609013293</v>
      </c>
      <c r="AI21" s="64">
        <f>(IF(F21="Y", C21, 0) + IF(K21="Y", H21, 0) + IF(P21="Y", M21, 0) + IF(U21="Y", R21, 0) + IF(Z21="Y", W21, 0) + IF(AE21="Y", AB21, 0)) / (IF(F21="Y", 1, 0) + IF(K21="Y", 1, 0) + IF(P21="Y", 1, 0) + IF(U21="Y", 1, 0) + IF(Z21="Y", 1, 0) + IF(AE21="Y", 1, 0))</f>
        <v>0.46024999999999994</v>
      </c>
      <c r="AJ21" s="64">
        <f>(EXP(2 * AG21) - 1) / (EXP(2 * AG21) + 1)</f>
        <v>0.47105431504973305</v>
      </c>
      <c r="AK21" s="58">
        <f>AJ21-ADAM_ALL</f>
        <v>6.1025188435893107E-3</v>
      </c>
      <c r="AL21" s="32" t="s">
        <v>48</v>
      </c>
    </row>
    <row r="22" spans="1:38" s="17" customFormat="1">
      <c r="A22" s="62" t="s">
        <v>27</v>
      </c>
      <c r="B22" s="18" t="s">
        <v>4</v>
      </c>
      <c r="C22" s="60">
        <v>-0.111</v>
      </c>
      <c r="D22" s="61">
        <v>0.55979999999999996</v>
      </c>
      <c r="E22" s="61">
        <f t="shared" si="0"/>
        <v>-0.11145927706286272</v>
      </c>
      <c r="F22" s="19"/>
      <c r="H22" s="60">
        <v>0.191</v>
      </c>
      <c r="I22" s="61">
        <v>0.32050000000000001</v>
      </c>
      <c r="J22" s="61">
        <f t="shared" si="1"/>
        <v>0.19337482614840426</v>
      </c>
      <c r="K22" s="19"/>
      <c r="M22" s="60">
        <v>-5.3999999999999999E-2</v>
      </c>
      <c r="N22" s="61">
        <v>0.75019999999999998</v>
      </c>
      <c r="O22" s="61">
        <f t="shared" si="2"/>
        <v>-5.4052580024714719E-2</v>
      </c>
      <c r="P22" s="19"/>
      <c r="R22" s="60">
        <v>0.71199999999999997</v>
      </c>
      <c r="S22" s="61">
        <v>0</v>
      </c>
      <c r="T22" s="61">
        <f t="shared" si="3"/>
        <v>0.89122853828287063</v>
      </c>
      <c r="U22" s="19" t="s">
        <v>79</v>
      </c>
      <c r="W22" s="60">
        <v>0.96</v>
      </c>
      <c r="X22" s="61">
        <v>0</v>
      </c>
      <c r="Y22" s="61">
        <f t="shared" si="4"/>
        <v>1.9459101490553128</v>
      </c>
      <c r="Z22" s="19" t="s">
        <v>79</v>
      </c>
      <c r="AB22" s="60">
        <v>0.69</v>
      </c>
      <c r="AC22" s="61">
        <v>4.0000000000000002E-4</v>
      </c>
      <c r="AD22" s="61">
        <f t="shared" si="5"/>
        <v>0.84795575521896349</v>
      </c>
      <c r="AE22" s="19" t="s">
        <v>79</v>
      </c>
      <c r="AG22" s="63">
        <f>(IF(F22="Y", E22, 0) + IF(K22="Y", J22, 0) + IF(P22="Y", O22, 0) + IF(U22="Y", T22, 0) + IF(Z22="Y", Y22, 0) + IF(AE22="Y", AD22, 0)) / (IF(F22="Y", 1, 0) + IF(K22="Y", 1, 0) + IF(P22="Y", 1, 0) + IF(U22="Y", 1, 0) + IF(Z22="Y", 1, 0) + IF(AE22="Y", 1, 0))</f>
        <v>1.2283648141857155</v>
      </c>
      <c r="AI22" s="64">
        <f>(IF(F22="Y", C22, 0) + IF(K22="Y", H22, 0) + IF(P22="Y", M22, 0) + IF(U22="Y", R22, 0) + IF(Z22="Y", W22, 0) + IF(AE22="Y", AB22, 0)) / (IF(F22="Y", 1, 0) + IF(K22="Y", 1, 0) + IF(P22="Y", 1, 0) + IF(U22="Y", 1, 0) + IF(Z22="Y", 1, 0) + IF(AE22="Y", 1, 0))</f>
        <v>0.78733333333333333</v>
      </c>
      <c r="AJ22" s="64">
        <f>(EXP(2 * AG22) - 1) / (EXP(2 * AG22) + 1)</f>
        <v>0.84210436957215262</v>
      </c>
      <c r="AK22" s="58">
        <f>AJ22-ADAM_ALL</f>
        <v>0.37715257336600888</v>
      </c>
      <c r="AL22" s="32" t="s">
        <v>53</v>
      </c>
    </row>
    <row r="23" spans="1:38" s="17" customFormat="1">
      <c r="A23" s="62" t="s">
        <v>27</v>
      </c>
      <c r="B23" s="18" t="s">
        <v>5</v>
      </c>
      <c r="C23" s="60">
        <v>0.42399999999999999</v>
      </c>
      <c r="D23" s="61">
        <v>1.9599999999999999E-2</v>
      </c>
      <c r="E23" s="61">
        <f t="shared" si="0"/>
        <v>0.45255871563801486</v>
      </c>
      <c r="F23" s="19" t="s">
        <v>79</v>
      </c>
      <c r="H23" s="60">
        <v>-3.0000000000000001E-3</v>
      </c>
      <c r="I23" s="61">
        <v>0.98770000000000002</v>
      </c>
      <c r="J23" s="61">
        <f t="shared" si="1"/>
        <v>-3.0000090000485728E-3</v>
      </c>
      <c r="K23" s="19"/>
      <c r="M23" s="60">
        <v>-6.8000000000000005E-2</v>
      </c>
      <c r="N23" s="61">
        <v>0.68840000000000001</v>
      </c>
      <c r="O23" s="61">
        <f t="shared" si="2"/>
        <v>-6.8105102417274535E-2</v>
      </c>
      <c r="P23" s="19"/>
      <c r="R23" s="60">
        <v>0.52800000000000002</v>
      </c>
      <c r="S23" s="61">
        <v>8.9999999999999998E-4</v>
      </c>
      <c r="T23" s="61">
        <f t="shared" si="3"/>
        <v>0.5873679920704552</v>
      </c>
      <c r="U23" s="19" t="s">
        <v>79</v>
      </c>
      <c r="W23" s="60">
        <v>0.35199999999999998</v>
      </c>
      <c r="X23" s="61">
        <v>2.5899999999999999E-2</v>
      </c>
      <c r="Y23" s="61">
        <f t="shared" si="4"/>
        <v>0.36772478012531734</v>
      </c>
      <c r="Z23" s="19" t="s">
        <v>79</v>
      </c>
      <c r="AB23" s="60">
        <v>0.48599999999999999</v>
      </c>
      <c r="AC23" s="61">
        <v>2.1700000000000001E-2</v>
      </c>
      <c r="AD23" s="61">
        <f t="shared" si="5"/>
        <v>0.53080997991126966</v>
      </c>
      <c r="AE23" s="19" t="s">
        <v>79</v>
      </c>
      <c r="AG23" s="63">
        <f>(IF(F23="Y", E23, 0) + IF(K23="Y", J23, 0) + IF(P23="Y", O23, 0) + IF(U23="Y", T23, 0) + IF(Z23="Y", Y23, 0) + IF(AE23="Y", AD23, 0)) / (IF(F23="Y", 1, 0) + IF(K23="Y", 1, 0) + IF(P23="Y", 1, 0) + IF(U23="Y", 1, 0) + IF(Z23="Y", 1, 0) + IF(AE23="Y", 1, 0))</f>
        <v>0.48461536693626428</v>
      </c>
      <c r="AI23" s="64">
        <f>(IF(F23="Y", C23, 0) + IF(K23="Y", H23, 0) + IF(P23="Y", M23, 0) + IF(U23="Y", R23, 0) + IF(Z23="Y", W23, 0) + IF(AE23="Y", AB23, 0)) / (IF(F23="Y", 1, 0) + IF(K23="Y", 1, 0) + IF(P23="Y", 1, 0) + IF(U23="Y", 1, 0) + IF(Z23="Y", 1, 0) + IF(AE23="Y", 1, 0))</f>
        <v>0.44749999999999995</v>
      </c>
      <c r="AJ23" s="64">
        <f>(EXP(2 * AG23) - 1) / (EXP(2 * AG23) + 1)</f>
        <v>0.44993228036549332</v>
      </c>
      <c r="AK23" s="58">
        <f>AJ23-ADAM_ALL</f>
        <v>-1.5019515840650421E-2</v>
      </c>
      <c r="AL23" s="32" t="s">
        <v>58</v>
      </c>
    </row>
    <row r="24" spans="1:38" s="17" customFormat="1">
      <c r="A24" s="62" t="s">
        <v>27</v>
      </c>
      <c r="B24" s="18" t="s">
        <v>6</v>
      </c>
      <c r="C24" s="60">
        <v>0.80700000000000005</v>
      </c>
      <c r="D24" s="61">
        <v>0</v>
      </c>
      <c r="E24" s="61">
        <f t="shared" si="0"/>
        <v>1.1183665508436715</v>
      </c>
      <c r="F24" s="19" t="s">
        <v>79</v>
      </c>
      <c r="H24" s="60">
        <v>0.248</v>
      </c>
      <c r="I24" s="61">
        <v>0.20399999999999999</v>
      </c>
      <c r="J24" s="61">
        <f t="shared" si="1"/>
        <v>0.25328061248976658</v>
      </c>
      <c r="K24" s="19"/>
      <c r="M24" s="60">
        <v>-9.5000000000000001E-2</v>
      </c>
      <c r="N24" s="61">
        <v>0.58330000000000004</v>
      </c>
      <c r="O24" s="61">
        <f t="shared" si="2"/>
        <v>-9.5287349275337538E-2</v>
      </c>
      <c r="P24" s="19"/>
      <c r="R24" s="60">
        <v>0.56100000000000005</v>
      </c>
      <c r="S24" s="61">
        <v>4.0000000000000002E-4</v>
      </c>
      <c r="T24" s="61">
        <f t="shared" si="3"/>
        <v>0.6342912537201304</v>
      </c>
      <c r="U24" s="19" t="s">
        <v>79</v>
      </c>
      <c r="W24" s="60">
        <v>0.70499999999999996</v>
      </c>
      <c r="X24" s="61">
        <v>0</v>
      </c>
      <c r="Y24" s="61">
        <f t="shared" si="4"/>
        <v>0.87717251668889862</v>
      </c>
      <c r="Z24" s="19" t="s">
        <v>79</v>
      </c>
      <c r="AB24" s="60">
        <v>0.51400000000000001</v>
      </c>
      <c r="AC24" s="61">
        <v>1.43E-2</v>
      </c>
      <c r="AD24" s="61">
        <f t="shared" si="5"/>
        <v>0.56815090504845012</v>
      </c>
      <c r="AE24" s="19" t="s">
        <v>79</v>
      </c>
      <c r="AG24" s="63">
        <f>(IF(F24="Y", E24, 0) + IF(K24="Y", J24, 0) + IF(P24="Y", O24, 0) + IF(U24="Y", T24, 0) + IF(Z24="Y", Y24, 0) + IF(AE24="Y", AD24, 0)) / (IF(F24="Y", 1, 0) + IF(K24="Y", 1, 0) + IF(P24="Y", 1, 0) + IF(U24="Y", 1, 0) + IF(Z24="Y", 1, 0) + IF(AE24="Y", 1, 0))</f>
        <v>0.79949530657528767</v>
      </c>
      <c r="AI24" s="64">
        <f>(IF(F24="Y", C24, 0) + IF(K24="Y", H24, 0) + IF(P24="Y", M24, 0) + IF(U24="Y", R24, 0) + IF(Z24="Y", W24, 0) + IF(AE24="Y", AB24, 0)) / (IF(F24="Y", 1, 0) + IF(K24="Y", 1, 0) + IF(P24="Y", 1, 0) + IF(U24="Y", 1, 0) + IF(Z24="Y", 1, 0) + IF(AE24="Y", 1, 0))</f>
        <v>0.64674999999999994</v>
      </c>
      <c r="AJ24" s="64">
        <f>(EXP(2 * AG24) - 1) / (EXP(2 * AG24) + 1)</f>
        <v>0.66375452423408499</v>
      </c>
      <c r="AK24" s="58">
        <f>AJ24-ADAM_ALL</f>
        <v>0.19880272802794124</v>
      </c>
      <c r="AL24" s="32" t="s">
        <v>43</v>
      </c>
    </row>
    <row r="25" spans="1:38" s="17" customFormat="1">
      <c r="A25" s="62" t="s">
        <v>27</v>
      </c>
      <c r="B25" s="18" t="s">
        <v>7</v>
      </c>
      <c r="C25" s="60">
        <v>-6.8000000000000005E-2</v>
      </c>
      <c r="D25" s="61">
        <v>0.72160000000000002</v>
      </c>
      <c r="E25" s="61">
        <f t="shared" si="0"/>
        <v>-6.8105102417274535E-2</v>
      </c>
      <c r="F25" s="19"/>
      <c r="H25" s="60">
        <v>0.378</v>
      </c>
      <c r="I25" s="61">
        <v>4.7600000000000003E-2</v>
      </c>
      <c r="J25" s="61">
        <f t="shared" si="1"/>
        <v>0.39772417941721228</v>
      </c>
      <c r="K25" s="19" t="s">
        <v>79</v>
      </c>
      <c r="M25" s="60">
        <v>-0.11799999999999999</v>
      </c>
      <c r="N25" s="61">
        <v>0.49359999999999998</v>
      </c>
      <c r="O25" s="61">
        <f t="shared" si="2"/>
        <v>-0.11855229885412655</v>
      </c>
      <c r="P25" s="19"/>
      <c r="R25" s="60">
        <v>0.433</v>
      </c>
      <c r="S25" s="61">
        <v>1.49E-2</v>
      </c>
      <c r="T25" s="61">
        <f t="shared" si="3"/>
        <v>0.46358306205020994</v>
      </c>
      <c r="U25" s="19" t="s">
        <v>79</v>
      </c>
      <c r="W25" s="60">
        <v>0.67800000000000005</v>
      </c>
      <c r="X25" s="61">
        <v>0</v>
      </c>
      <c r="Y25" s="61">
        <f t="shared" si="4"/>
        <v>0.82540317074137159</v>
      </c>
      <c r="Z25" s="19" t="s">
        <v>79</v>
      </c>
      <c r="AB25" s="60">
        <v>0.64400000000000002</v>
      </c>
      <c r="AC25" s="61">
        <v>1.6000000000000001E-3</v>
      </c>
      <c r="AD25" s="61">
        <f t="shared" si="5"/>
        <v>0.76497842238204738</v>
      </c>
      <c r="AE25" s="19" t="s">
        <v>79</v>
      </c>
      <c r="AG25" s="63">
        <f>(IF(F25="Y", E25, 0) + IF(K25="Y", J25, 0) + IF(P25="Y", O25, 0) + IF(U25="Y", T25, 0) + IF(Z25="Y", Y25, 0) + IF(AE25="Y", AD25, 0)) / (IF(F25="Y", 1, 0) + IF(K25="Y", 1, 0) + IF(P25="Y", 1, 0) + IF(U25="Y", 1, 0) + IF(Z25="Y", 1, 0) + IF(AE25="Y", 1, 0))</f>
        <v>0.6129222086477103</v>
      </c>
      <c r="AI25" s="64">
        <f>(IF(F25="Y", C25, 0) + IF(K25="Y", H25, 0) + IF(P25="Y", M25, 0) + IF(U25="Y", R25, 0) + IF(Z25="Y", W25, 0) + IF(AE25="Y", AB25, 0)) / (IF(F25="Y", 1, 0) + IF(K25="Y", 1, 0) + IF(P25="Y", 1, 0) + IF(U25="Y", 1, 0) + IF(Z25="Y", 1, 0) + IF(AE25="Y", 1, 0))</f>
        <v>0.53325</v>
      </c>
      <c r="AJ25" s="64">
        <f>(EXP(2 * AG25) - 1) / (EXP(2 * AG25) + 1)</f>
        <v>0.54618084521107901</v>
      </c>
      <c r="AK25" s="58">
        <f>AJ25-ADAM_ALL</f>
        <v>8.1229049004935272E-2</v>
      </c>
      <c r="AL25" s="32" t="s">
        <v>44</v>
      </c>
    </row>
    <row r="26" spans="1:38" s="17" customFormat="1">
      <c r="A26" s="62" t="s">
        <v>27</v>
      </c>
      <c r="B26" s="18" t="s">
        <v>8</v>
      </c>
      <c r="C26" s="60">
        <v>0.40200000000000002</v>
      </c>
      <c r="D26" s="61">
        <v>2.7699999999999999E-2</v>
      </c>
      <c r="E26" s="61">
        <f t="shared" si="0"/>
        <v>0.42603215682195195</v>
      </c>
      <c r="F26" s="19" t="s">
        <v>79</v>
      </c>
      <c r="H26" s="60">
        <v>-9.1999999999999998E-2</v>
      </c>
      <c r="I26" s="61">
        <v>0.63570000000000004</v>
      </c>
      <c r="J26" s="61">
        <f t="shared" si="1"/>
        <v>-9.2260888851778564E-2</v>
      </c>
      <c r="K26" s="19"/>
      <c r="M26" s="60">
        <v>6.7000000000000004E-2</v>
      </c>
      <c r="N26" s="61">
        <v>0.69510000000000005</v>
      </c>
      <c r="O26" s="61">
        <f t="shared" si="2"/>
        <v>6.7100525227204694E-2</v>
      </c>
      <c r="P26" s="19"/>
      <c r="R26" s="60">
        <v>0.51900000000000002</v>
      </c>
      <c r="S26" s="61">
        <v>1.1999999999999999E-3</v>
      </c>
      <c r="T26" s="61">
        <f t="shared" si="3"/>
        <v>0.57497011624500582</v>
      </c>
      <c r="U26" s="19" t="s">
        <v>79</v>
      </c>
      <c r="W26" s="60">
        <v>0.70599999999999996</v>
      </c>
      <c r="X26" s="61">
        <v>0</v>
      </c>
      <c r="Y26" s="61">
        <f t="shared" si="4"/>
        <v>0.87916348035647129</v>
      </c>
      <c r="Z26" s="19" t="s">
        <v>79</v>
      </c>
      <c r="AB26" s="60">
        <v>0.91900000000000004</v>
      </c>
      <c r="AC26" s="61">
        <v>0</v>
      </c>
      <c r="AD26" s="61">
        <f t="shared" si="5"/>
        <v>1.5825551706676309</v>
      </c>
      <c r="AE26" s="19" t="s">
        <v>79</v>
      </c>
      <c r="AG26" s="63">
        <f>(IF(F26="Y", E26, 0) + IF(K26="Y", J26, 0) + IF(P26="Y", O26, 0) + IF(U26="Y", T26, 0) + IF(Z26="Y", Y26, 0) + IF(AE26="Y", AD26, 0)) / (IF(F26="Y", 1, 0) + IF(K26="Y", 1, 0) + IF(P26="Y", 1, 0) + IF(U26="Y", 1, 0) + IF(Z26="Y", 1, 0) + IF(AE26="Y", 1, 0))</f>
        <v>0.86568023102276492</v>
      </c>
      <c r="AI26" s="64">
        <f>(IF(F26="Y", C26, 0) + IF(K26="Y", H26, 0) + IF(P26="Y", M26, 0) + IF(U26="Y", R26, 0) + IF(Z26="Y", W26, 0) + IF(AE26="Y", AB26, 0)) / (IF(F26="Y", 1, 0) + IF(K26="Y", 1, 0) + IF(P26="Y", 1, 0) + IF(U26="Y", 1, 0) + IF(Z26="Y", 1, 0) + IF(AE26="Y", 1, 0))</f>
        <v>0.63650000000000007</v>
      </c>
      <c r="AJ26" s="64">
        <f>(EXP(2 * AG26) - 1) / (EXP(2 * AG26) + 1)</f>
        <v>0.69917271110420942</v>
      </c>
      <c r="AK26" s="58">
        <f>AJ26-ADAM_ALL</f>
        <v>0.23422091489806568</v>
      </c>
      <c r="AL26" s="32" t="s">
        <v>45</v>
      </c>
    </row>
    <row r="27" spans="1:38" s="17" customFormat="1">
      <c r="A27" s="62" t="s">
        <v>27</v>
      </c>
      <c r="B27" s="18" t="s">
        <v>9</v>
      </c>
      <c r="C27" s="60">
        <v>0.13100000000000001</v>
      </c>
      <c r="D27" s="61">
        <v>0.49070000000000003</v>
      </c>
      <c r="E27" s="61">
        <f t="shared" si="0"/>
        <v>0.13175717542536419</v>
      </c>
      <c r="F27" s="19"/>
      <c r="H27" s="60">
        <v>-0.18</v>
      </c>
      <c r="I27" s="61">
        <v>0.34100000000000003</v>
      </c>
      <c r="J27" s="61">
        <f t="shared" si="1"/>
        <v>-0.18198268860070579</v>
      </c>
      <c r="K27" s="19"/>
      <c r="M27" s="60">
        <v>-6.6000000000000003E-2</v>
      </c>
      <c r="N27" s="61">
        <v>0.69630000000000003</v>
      </c>
      <c r="O27" s="61">
        <f t="shared" si="2"/>
        <v>-6.6096083248473644E-2</v>
      </c>
      <c r="P27" s="19"/>
      <c r="R27" s="60">
        <v>0.25</v>
      </c>
      <c r="S27" s="61">
        <v>0.13589999999999999</v>
      </c>
      <c r="T27" s="61">
        <f t="shared" si="3"/>
        <v>0.25541281188299536</v>
      </c>
      <c r="U27" s="19"/>
      <c r="W27" s="60">
        <v>0.84899999999999998</v>
      </c>
      <c r="X27" s="61">
        <v>0</v>
      </c>
      <c r="Y27" s="61">
        <f t="shared" si="4"/>
        <v>1.2525601972861002</v>
      </c>
      <c r="Z27" s="19" t="s">
        <v>79</v>
      </c>
      <c r="AB27" s="60">
        <v>0.93899999999999995</v>
      </c>
      <c r="AC27" s="61">
        <v>0</v>
      </c>
      <c r="AD27" s="61">
        <f t="shared" si="5"/>
        <v>1.7295268955346699</v>
      </c>
      <c r="AE27" s="19" t="s">
        <v>79</v>
      </c>
      <c r="AG27" s="63">
        <f>(IF(F27="Y", E27, 0) + IF(K27="Y", J27, 0) + IF(P27="Y", O27, 0) + IF(U27="Y", T27, 0) + IF(Z27="Y", Y27, 0) + IF(AE27="Y", AD27, 0)) / (IF(F27="Y", 1, 0) + IF(K27="Y", 1, 0) + IF(P27="Y", 1, 0) + IF(U27="Y", 1, 0) + IF(Z27="Y", 1, 0) + IF(AE27="Y", 1, 0))</f>
        <v>1.4910435464103851</v>
      </c>
      <c r="AI27" s="64">
        <f>(IF(F27="Y", C27, 0) + IF(K27="Y", H27, 0) + IF(P27="Y", M27, 0) + IF(U27="Y", R27, 0) + IF(Z27="Y", W27, 0) + IF(AE27="Y", AB27, 0)) / (IF(F27="Y", 1, 0) + IF(K27="Y", 1, 0) + IF(P27="Y", 1, 0) + IF(U27="Y", 1, 0) + IF(Z27="Y", 1, 0) + IF(AE27="Y", 1, 0))</f>
        <v>0.89399999999999991</v>
      </c>
      <c r="AJ27" s="64">
        <f>(EXP(2 * AG27) - 1) / (EXP(2 * AG27) + 1)</f>
        <v>0.90351657879496705</v>
      </c>
      <c r="AK27" s="58">
        <f>AJ27-ADAM_ALL</f>
        <v>0.43856478258882331</v>
      </c>
      <c r="AL27" s="32" t="s">
        <v>57</v>
      </c>
    </row>
    <row r="28" spans="1:38" s="17" customFormat="1">
      <c r="A28" s="62"/>
      <c r="B28" s="18"/>
      <c r="C28" s="60"/>
      <c r="D28" s="61"/>
      <c r="E28" s="61"/>
      <c r="F28" s="19"/>
      <c r="H28" s="60"/>
      <c r="I28" s="61"/>
      <c r="J28" s="61"/>
      <c r="K28" s="19"/>
      <c r="M28" s="60"/>
      <c r="N28" s="61"/>
      <c r="O28" s="61"/>
      <c r="P28" s="19"/>
      <c r="R28" s="60"/>
      <c r="S28" s="61"/>
      <c r="T28" s="61"/>
      <c r="U28" s="19"/>
      <c r="W28" s="60"/>
      <c r="X28" s="61"/>
      <c r="Y28" s="61"/>
      <c r="Z28" s="19"/>
      <c r="AB28" s="60"/>
      <c r="AC28" s="61"/>
      <c r="AD28" s="61"/>
      <c r="AE28" s="19"/>
      <c r="AG28" s="63"/>
      <c r="AI28" s="64"/>
      <c r="AJ28" s="64"/>
      <c r="AK28" s="58"/>
      <c r="AL28" s="32"/>
    </row>
    <row r="29" spans="1:38" s="17" customFormat="1">
      <c r="A29" s="62"/>
      <c r="B29" s="18" t="s">
        <v>10</v>
      </c>
      <c r="C29" s="60"/>
      <c r="D29" s="61"/>
      <c r="E29" s="61"/>
      <c r="F29" s="19"/>
      <c r="H29" s="60"/>
      <c r="I29" s="61"/>
      <c r="J29" s="61"/>
      <c r="K29" s="19"/>
      <c r="M29" s="60"/>
      <c r="N29" s="61"/>
      <c r="O29" s="61"/>
      <c r="P29" s="19"/>
      <c r="R29" s="60"/>
      <c r="S29" s="61"/>
      <c r="T29" s="61"/>
      <c r="U29" s="19"/>
      <c r="W29" s="60"/>
      <c r="X29" s="61"/>
      <c r="Y29" s="61"/>
      <c r="Z29" s="19"/>
      <c r="AB29" s="60"/>
      <c r="AC29" s="61"/>
      <c r="AD29" s="61"/>
      <c r="AE29" s="19"/>
      <c r="AG29" s="63"/>
      <c r="AI29" s="64"/>
      <c r="AJ29" s="64"/>
      <c r="AK29" s="58"/>
      <c r="AL29" s="30" t="s">
        <v>10</v>
      </c>
    </row>
    <row r="30" spans="1:38" s="17" customFormat="1">
      <c r="A30" s="62"/>
      <c r="B30" s="18" t="s">
        <v>21</v>
      </c>
      <c r="C30" s="60"/>
      <c r="D30" s="61"/>
      <c r="E30" s="61"/>
      <c r="F30" s="19"/>
      <c r="H30" s="60"/>
      <c r="I30" s="61"/>
      <c r="J30" s="61"/>
      <c r="K30" s="19"/>
      <c r="M30" s="60"/>
      <c r="N30" s="61"/>
      <c r="O30" s="61"/>
      <c r="P30" s="19"/>
      <c r="R30" s="60"/>
      <c r="S30" s="61"/>
      <c r="T30" s="61"/>
      <c r="U30" s="19"/>
      <c r="W30" s="60"/>
      <c r="X30" s="61"/>
      <c r="Y30" s="61"/>
      <c r="Z30" s="19"/>
      <c r="AB30" s="60"/>
      <c r="AC30" s="61"/>
      <c r="AD30" s="61"/>
      <c r="AE30" s="19"/>
      <c r="AG30" s="63"/>
      <c r="AI30" s="64"/>
      <c r="AJ30" s="64"/>
      <c r="AK30" s="58"/>
      <c r="AL30" s="32" t="s">
        <v>46</v>
      </c>
    </row>
    <row r="31" spans="1:38" s="17" customFormat="1">
      <c r="A31" s="62"/>
      <c r="B31" s="18" t="s">
        <v>22</v>
      </c>
      <c r="C31" s="60"/>
      <c r="D31" s="61"/>
      <c r="E31" s="61"/>
      <c r="F31" s="19"/>
      <c r="H31" s="60"/>
      <c r="I31" s="61"/>
      <c r="J31" s="61"/>
      <c r="K31" s="19"/>
      <c r="M31" s="60"/>
      <c r="N31" s="61"/>
      <c r="O31" s="61"/>
      <c r="P31" s="19"/>
      <c r="R31" s="60"/>
      <c r="S31" s="61"/>
      <c r="T31" s="61"/>
      <c r="U31" s="19"/>
      <c r="W31" s="60"/>
      <c r="X31" s="61"/>
      <c r="Y31" s="61"/>
      <c r="Z31" s="19"/>
      <c r="AB31" s="60"/>
      <c r="AC31" s="61"/>
      <c r="AD31" s="61"/>
      <c r="AE31" s="19"/>
      <c r="AG31" s="63"/>
      <c r="AI31" s="64"/>
      <c r="AJ31" s="64"/>
      <c r="AK31" s="58"/>
      <c r="AL31" s="32" t="s">
        <v>49</v>
      </c>
    </row>
    <row r="32" spans="1:38" s="17" customFormat="1">
      <c r="A32" s="62"/>
      <c r="B32" s="18" t="s">
        <v>5</v>
      </c>
      <c r="C32" s="60"/>
      <c r="D32" s="61"/>
      <c r="E32" s="61"/>
      <c r="F32" s="19"/>
      <c r="H32" s="60"/>
      <c r="I32" s="61"/>
      <c r="J32" s="61"/>
      <c r="K32" s="19"/>
      <c r="M32" s="60"/>
      <c r="N32" s="61"/>
      <c r="O32" s="61"/>
      <c r="P32" s="19"/>
      <c r="R32" s="60"/>
      <c r="S32" s="61"/>
      <c r="T32" s="61"/>
      <c r="U32" s="19"/>
      <c r="W32" s="60"/>
      <c r="X32" s="61"/>
      <c r="Y32" s="61"/>
      <c r="Z32" s="19"/>
      <c r="AB32" s="60"/>
      <c r="AC32" s="61"/>
      <c r="AD32" s="61"/>
      <c r="AE32" s="19"/>
      <c r="AG32" s="63"/>
      <c r="AI32" s="64"/>
      <c r="AJ32" s="64"/>
      <c r="AK32" s="58"/>
      <c r="AL32" s="32" t="s">
        <v>58</v>
      </c>
    </row>
    <row r="33" spans="1:38" s="17" customFormat="1">
      <c r="A33" s="62"/>
      <c r="B33" s="18" t="s">
        <v>6</v>
      </c>
      <c r="C33" s="60"/>
      <c r="D33" s="61"/>
      <c r="E33" s="61"/>
      <c r="F33" s="19"/>
      <c r="H33" s="60"/>
      <c r="I33" s="61"/>
      <c r="J33" s="61"/>
      <c r="K33" s="19"/>
      <c r="M33" s="60"/>
      <c r="N33" s="61"/>
      <c r="O33" s="61"/>
      <c r="P33" s="19"/>
      <c r="R33" s="60"/>
      <c r="S33" s="61"/>
      <c r="T33" s="61"/>
      <c r="U33" s="19"/>
      <c r="W33" s="60"/>
      <c r="X33" s="61"/>
      <c r="Y33" s="61"/>
      <c r="Z33" s="19"/>
      <c r="AB33" s="60"/>
      <c r="AC33" s="61"/>
      <c r="AD33" s="61"/>
      <c r="AE33" s="19"/>
      <c r="AG33" s="63"/>
      <c r="AI33" s="64"/>
      <c r="AJ33" s="64"/>
      <c r="AK33" s="58"/>
      <c r="AL33" s="32" t="s">
        <v>43</v>
      </c>
    </row>
    <row r="34" spans="1:38" s="17" customFormat="1">
      <c r="A34" s="62"/>
      <c r="B34" s="18" t="s">
        <v>7</v>
      </c>
      <c r="C34" s="60"/>
      <c r="D34" s="61"/>
      <c r="E34" s="61"/>
      <c r="F34" s="19"/>
      <c r="H34" s="60"/>
      <c r="I34" s="61"/>
      <c r="J34" s="61"/>
      <c r="K34" s="19"/>
      <c r="M34" s="60"/>
      <c r="N34" s="61"/>
      <c r="O34" s="61"/>
      <c r="P34" s="19"/>
      <c r="R34" s="60"/>
      <c r="S34" s="61"/>
      <c r="T34" s="61"/>
      <c r="U34" s="19"/>
      <c r="W34" s="60"/>
      <c r="X34" s="61"/>
      <c r="Y34" s="61"/>
      <c r="Z34" s="19"/>
      <c r="AB34" s="60"/>
      <c r="AC34" s="61"/>
      <c r="AD34" s="61"/>
      <c r="AE34" s="19"/>
      <c r="AG34" s="63"/>
      <c r="AI34" s="64"/>
      <c r="AJ34" s="64"/>
      <c r="AK34" s="58"/>
      <c r="AL34" s="32" t="s">
        <v>44</v>
      </c>
    </row>
    <row r="35" spans="1:38" s="17" customFormat="1">
      <c r="A35" s="62"/>
      <c r="B35" s="18" t="s">
        <v>8</v>
      </c>
      <c r="C35" s="60"/>
      <c r="D35" s="61"/>
      <c r="E35" s="61"/>
      <c r="F35" s="19"/>
      <c r="H35" s="60"/>
      <c r="I35" s="61"/>
      <c r="J35" s="61"/>
      <c r="K35" s="19"/>
      <c r="M35" s="60"/>
      <c r="N35" s="61"/>
      <c r="O35" s="61"/>
      <c r="P35" s="19"/>
      <c r="R35" s="60"/>
      <c r="S35" s="61"/>
      <c r="T35" s="61"/>
      <c r="U35" s="19"/>
      <c r="W35" s="60"/>
      <c r="X35" s="61"/>
      <c r="Y35" s="61"/>
      <c r="Z35" s="19"/>
      <c r="AB35" s="60"/>
      <c r="AC35" s="61"/>
      <c r="AD35" s="61"/>
      <c r="AE35" s="19"/>
      <c r="AG35" s="63"/>
      <c r="AI35" s="64"/>
      <c r="AJ35" s="64"/>
      <c r="AK35" s="58"/>
      <c r="AL35" s="32" t="s">
        <v>45</v>
      </c>
    </row>
    <row r="36" spans="1:38" s="17" customFormat="1">
      <c r="A36" s="62"/>
      <c r="B36" s="18"/>
      <c r="C36" s="60"/>
      <c r="D36" s="61"/>
      <c r="E36" s="61"/>
      <c r="F36" s="19"/>
      <c r="H36" s="60"/>
      <c r="I36" s="61"/>
      <c r="J36" s="61"/>
      <c r="K36" s="19"/>
      <c r="M36" s="60"/>
      <c r="N36" s="61"/>
      <c r="O36" s="61"/>
      <c r="P36" s="19"/>
      <c r="R36" s="60"/>
      <c r="S36" s="61"/>
      <c r="T36" s="61"/>
      <c r="U36" s="19"/>
      <c r="W36" s="60"/>
      <c r="X36" s="61"/>
      <c r="Y36" s="61"/>
      <c r="Z36" s="19"/>
      <c r="AB36" s="60"/>
      <c r="AC36" s="61"/>
      <c r="AD36" s="61"/>
      <c r="AE36" s="19"/>
      <c r="AG36" s="63"/>
      <c r="AI36" s="64"/>
      <c r="AJ36" s="64"/>
      <c r="AK36" s="58"/>
      <c r="AL36" s="32"/>
    </row>
    <row r="37" spans="1:38" s="17" customFormat="1">
      <c r="A37" s="62" t="s">
        <v>28</v>
      </c>
      <c r="B37" s="18" t="s">
        <v>10</v>
      </c>
      <c r="C37" s="60">
        <v>0.26800000000000002</v>
      </c>
      <c r="D37" s="61">
        <v>0</v>
      </c>
      <c r="E37" s="61">
        <f t="shared" si="0"/>
        <v>0.27470781051792986</v>
      </c>
      <c r="F37" s="19" t="s">
        <v>79</v>
      </c>
      <c r="H37" s="60">
        <v>0.192</v>
      </c>
      <c r="I37" s="61">
        <v>0</v>
      </c>
      <c r="J37" s="61">
        <f t="shared" si="1"/>
        <v>0.19441289455209976</v>
      </c>
      <c r="K37" s="19" t="s">
        <v>79</v>
      </c>
      <c r="M37" s="60">
        <v>8.8999999999999996E-2</v>
      </c>
      <c r="N37" s="61">
        <v>0.1517</v>
      </c>
      <c r="O37" s="61">
        <f t="shared" si="2"/>
        <v>8.9236112836501069E-2</v>
      </c>
      <c r="P37" s="19"/>
      <c r="R37" s="60">
        <v>0.378</v>
      </c>
      <c r="S37" s="61">
        <v>0</v>
      </c>
      <c r="T37" s="61">
        <f t="shared" si="3"/>
        <v>0.39772417941721228</v>
      </c>
      <c r="U37" s="19" t="s">
        <v>79</v>
      </c>
      <c r="W37" s="60">
        <v>0.85599999999999998</v>
      </c>
      <c r="X37" s="61">
        <v>0</v>
      </c>
      <c r="Y37" s="61">
        <f t="shared" si="4"/>
        <v>1.2781828068850725</v>
      </c>
      <c r="Z37" s="19" t="s">
        <v>79</v>
      </c>
      <c r="AB37" s="60">
        <v>0.72799999999999998</v>
      </c>
      <c r="AC37" s="61">
        <v>0</v>
      </c>
      <c r="AD37" s="61">
        <f t="shared" si="5"/>
        <v>0.92445894153400177</v>
      </c>
      <c r="AE37" s="19" t="s">
        <v>79</v>
      </c>
      <c r="AG37" s="63">
        <f>(IF(F37="Y", E37, 0) + IF(K37="Y", J37, 0) + IF(P37="Y", O37, 0) + IF(U37="Y", T37, 0) + IF(Z37="Y", Y37, 0) + IF(AE37="Y", AD37, 0)) / (IF(F37="Y", 1, 0) + IF(K37="Y", 1, 0) + IF(P37="Y", 1, 0) + IF(U37="Y", 1, 0) + IF(Z37="Y", 1, 0) + IF(AE37="Y", 1, 0))</f>
        <v>0.61389732658126328</v>
      </c>
      <c r="AI37" s="64">
        <f>(IF(F37="Y", C37, 0) + IF(K37="Y", H37, 0) + IF(P37="Y", M37, 0) + IF(U37="Y", R37, 0) + IF(Z37="Y", W37, 0) + IF(AE37="Y", AB37, 0)) / (IF(F37="Y", 1, 0) + IF(K37="Y", 1, 0) + IF(P37="Y", 1, 0) + IF(U37="Y", 1, 0) + IF(Z37="Y", 1, 0) + IF(AE37="Y", 1, 0))</f>
        <v>0.48439999999999994</v>
      </c>
      <c r="AJ37" s="64">
        <f>(EXP(2 * AG37) - 1) / (EXP(2 * AG37) + 1)</f>
        <v>0.54686470785001706</v>
      </c>
      <c r="AK37" s="58">
        <f>AJ37-KENTON_ALL</f>
        <v>0</v>
      </c>
      <c r="AL37" s="32" t="s">
        <v>10</v>
      </c>
    </row>
    <row r="38" spans="1:38" s="17" customFormat="1">
      <c r="A38" s="62" t="s">
        <v>28</v>
      </c>
      <c r="B38" s="18" t="s">
        <v>11</v>
      </c>
      <c r="C38" s="60">
        <v>0.48899999999999999</v>
      </c>
      <c r="D38" s="61">
        <v>1.1999999999999999E-3</v>
      </c>
      <c r="E38" s="61">
        <f t="shared" si="0"/>
        <v>0.53474522124015222</v>
      </c>
      <c r="F38" s="19" t="s">
        <v>79</v>
      </c>
      <c r="H38" s="60">
        <v>0.27</v>
      </c>
      <c r="I38" s="61">
        <v>3.5000000000000001E-3</v>
      </c>
      <c r="J38" s="61">
        <f t="shared" si="1"/>
        <v>0.27686382265510007</v>
      </c>
      <c r="K38" s="19" t="s">
        <v>79</v>
      </c>
      <c r="M38" s="60">
        <v>5.2999999999999999E-2</v>
      </c>
      <c r="N38" s="61">
        <v>0.75649999999999995</v>
      </c>
      <c r="O38" s="61">
        <f t="shared" si="2"/>
        <v>5.3049709473948575E-2</v>
      </c>
      <c r="P38" s="19"/>
      <c r="R38" s="60">
        <v>0.46400000000000002</v>
      </c>
      <c r="S38" s="61">
        <v>6.4999999999999997E-3</v>
      </c>
      <c r="T38" s="61">
        <f t="shared" si="3"/>
        <v>0.50239676672522737</v>
      </c>
      <c r="U38" s="19" t="s">
        <v>79</v>
      </c>
      <c r="W38" s="60">
        <v>1</v>
      </c>
      <c r="X38" s="61">
        <v>0</v>
      </c>
      <c r="Y38" s="61">
        <v>1</v>
      </c>
      <c r="Z38" s="19" t="s">
        <v>79</v>
      </c>
      <c r="AB38" s="60">
        <v>0.74199999999999999</v>
      </c>
      <c r="AC38" s="61">
        <v>0</v>
      </c>
      <c r="AD38" s="61">
        <f t="shared" si="5"/>
        <v>0.95491478624541526</v>
      </c>
      <c r="AE38" s="19" t="s">
        <v>79</v>
      </c>
      <c r="AG38" s="63">
        <f>(IF(F38="Y", E38, 0) + IF(K38="Y", J38, 0) + IF(P38="Y", O38, 0) + IF(U38="Y", T38, 0) + IF(Z38="Y", Y38, 0) + IF(AE38="Y", AD38, 0)) / (IF(F38="Y", 1, 0) + IF(K38="Y", 1, 0) + IF(P38="Y", 1, 0) + IF(U38="Y", 1, 0) + IF(Z38="Y", 1, 0) + IF(AE38="Y", 1, 0))</f>
        <v>0.65378411937317904</v>
      </c>
      <c r="AI38" s="64">
        <f>(IF(F38="Y", C38, 0) + IF(K38="Y", H38, 0) + IF(P38="Y", M38, 0) + IF(U38="Y", R38, 0) + IF(Z38="Y", W38, 0) + IF(AE38="Y", AB38, 0)) / (IF(F38="Y", 1, 0) + IF(K38="Y", 1, 0) + IF(P38="Y", 1, 0) + IF(U38="Y", 1, 0) + IF(Z38="Y", 1, 0) + IF(AE38="Y", 1, 0))</f>
        <v>0.59299999999999997</v>
      </c>
      <c r="AJ38" s="64">
        <f>(EXP(2 * AG38) - 1) / (EXP(2 * AG38) + 1)</f>
        <v>0.57421189944602402</v>
      </c>
      <c r="AK38" s="58">
        <f>AJ38-KENTON_ALL</f>
        <v>2.7347191596006959E-2</v>
      </c>
      <c r="AL38" s="32" t="s">
        <v>61</v>
      </c>
    </row>
    <row r="39" spans="1:38" s="17" customFormat="1">
      <c r="A39" s="62" t="s">
        <v>28</v>
      </c>
      <c r="B39" s="18" t="s">
        <v>12</v>
      </c>
      <c r="C39" s="60">
        <v>-9.0999999999999998E-2</v>
      </c>
      <c r="D39" s="61">
        <v>0.5655</v>
      </c>
      <c r="E39" s="61">
        <f t="shared" si="0"/>
        <v>-9.1252445827795972E-2</v>
      </c>
      <c r="F39" s="19"/>
      <c r="H39" s="60">
        <v>-2.5999999999999999E-2</v>
      </c>
      <c r="I39" s="61">
        <v>0.77500000000000002</v>
      </c>
      <c r="J39" s="61">
        <f t="shared" si="1"/>
        <v>-2.6005861044089869E-2</v>
      </c>
      <c r="K39" s="19"/>
      <c r="M39" s="60">
        <v>0.251</v>
      </c>
      <c r="N39" s="61">
        <v>0.13469999999999999</v>
      </c>
      <c r="O39" s="61">
        <f t="shared" si="2"/>
        <v>0.2564797634748458</v>
      </c>
      <c r="P39" s="19"/>
      <c r="R39" s="60">
        <v>0.50800000000000001</v>
      </c>
      <c r="S39" s="61">
        <v>2.2000000000000001E-3</v>
      </c>
      <c r="T39" s="61">
        <f t="shared" si="3"/>
        <v>0.56003041603779657</v>
      </c>
      <c r="U39" s="19" t="s">
        <v>79</v>
      </c>
      <c r="W39" s="60"/>
      <c r="X39" s="61"/>
      <c r="Y39" s="61"/>
      <c r="Z39" s="19"/>
      <c r="AB39" s="60">
        <v>0.28299999999999997</v>
      </c>
      <c r="AC39" s="61">
        <v>1.37E-2</v>
      </c>
      <c r="AD39" s="61">
        <f t="shared" si="5"/>
        <v>0.29094026200800793</v>
      </c>
      <c r="AE39" s="19" t="s">
        <v>79</v>
      </c>
      <c r="AG39" s="63">
        <f>(IF(F39="Y", E39, 0) + IF(K39="Y", J39, 0) + IF(P39="Y", O39, 0) + IF(U39="Y", T39, 0) + IF(Z39="Y", Y39, 0) + IF(AE39="Y", AD39, 0)) / (IF(F39="Y", 1, 0) + IF(K39="Y", 1, 0) + IF(P39="Y", 1, 0) + IF(U39="Y", 1, 0) + IF(Z39="Y", 1, 0) + IF(AE39="Y", 1, 0))</f>
        <v>0.42548533902290225</v>
      </c>
      <c r="AI39" s="64">
        <f>(IF(F39="Y", C39, 0) + IF(K39="Y", H39, 0) + IF(P39="Y", M39, 0) + IF(U39="Y", R39, 0) + IF(Z39="Y", W39, 0) + IF(AE39="Y", AB39, 0)) / (IF(F39="Y", 1, 0) + IF(K39="Y", 1, 0) + IF(P39="Y", 1, 0) + IF(U39="Y", 1, 0) + IF(Z39="Y", 1, 0) + IF(AE39="Y", 1, 0))</f>
        <v>0.39549999999999996</v>
      </c>
      <c r="AJ39" s="64">
        <f>(EXP(2 * AG39) - 1) / (EXP(2 * AG39) + 1)</f>
        <v>0.40154144939131065</v>
      </c>
      <c r="AK39" s="58">
        <f>AJ39-KENTON_ALL</f>
        <v>-0.14532325845870642</v>
      </c>
      <c r="AL39" s="30" t="s">
        <v>62</v>
      </c>
    </row>
    <row r="40" spans="1:38" s="17" customFormat="1">
      <c r="A40" s="62" t="s">
        <v>28</v>
      </c>
      <c r="B40" s="18" t="s">
        <v>13</v>
      </c>
      <c r="C40" s="60">
        <v>-5.8999999999999997E-2</v>
      </c>
      <c r="D40" s="61">
        <v>0.71309999999999996</v>
      </c>
      <c r="E40" s="61">
        <f t="shared" si="0"/>
        <v>-5.9068603008013372E-2</v>
      </c>
      <c r="F40" s="19"/>
      <c r="H40" s="60">
        <v>0.224</v>
      </c>
      <c r="I40" s="61">
        <v>1.5900000000000001E-2</v>
      </c>
      <c r="J40" s="61">
        <f t="shared" si="1"/>
        <v>0.22786347144452632</v>
      </c>
      <c r="K40" s="19" t="s">
        <v>79</v>
      </c>
      <c r="M40" s="60">
        <v>3.9E-2</v>
      </c>
      <c r="N40" s="61">
        <v>0.81859999999999999</v>
      </c>
      <c r="O40" s="61">
        <f t="shared" si="2"/>
        <v>3.901979106446745E-2</v>
      </c>
      <c r="P40" s="19"/>
      <c r="R40" s="60">
        <v>0.54800000000000004</v>
      </c>
      <c r="S40" s="61">
        <v>8.0000000000000004E-4</v>
      </c>
      <c r="T40" s="61">
        <f t="shared" si="3"/>
        <v>0.61551843715872068</v>
      </c>
      <c r="U40" s="19" t="s">
        <v>79</v>
      </c>
      <c r="W40" s="60"/>
      <c r="X40" s="61"/>
      <c r="Y40" s="61"/>
      <c r="Z40" s="19"/>
      <c r="AB40" s="60">
        <v>0.20699999999999999</v>
      </c>
      <c r="AC40" s="61">
        <v>7.4099999999999999E-2</v>
      </c>
      <c r="AD40" s="61">
        <f t="shared" si="5"/>
        <v>0.21003499973134179</v>
      </c>
      <c r="AE40" s="19" t="s">
        <v>79</v>
      </c>
      <c r="AG40" s="63">
        <f>(IF(F40="Y", E40, 0) + IF(K40="Y", J40, 0) + IF(P40="Y", O40, 0) + IF(U40="Y", T40, 0) + IF(Z40="Y", Y40, 0) + IF(AE40="Y", AD40, 0)) / (IF(F40="Y", 1, 0) + IF(K40="Y", 1, 0) + IF(P40="Y", 1, 0) + IF(U40="Y", 1, 0) + IF(Z40="Y", 1, 0) + IF(AE40="Y", 1, 0))</f>
        <v>0.35113896944486295</v>
      </c>
      <c r="AI40" s="64">
        <f>(IF(F40="Y", C40, 0) + IF(K40="Y", H40, 0) + IF(P40="Y", M40, 0) + IF(U40="Y", R40, 0) + IF(Z40="Y", W40, 0) + IF(AE40="Y", AB40, 0)) / (IF(F40="Y", 1, 0) + IF(K40="Y", 1, 0) + IF(P40="Y", 1, 0) + IF(U40="Y", 1, 0) + IF(Z40="Y", 1, 0) + IF(AE40="Y", 1, 0))</f>
        <v>0.32633333333333331</v>
      </c>
      <c r="AJ40" s="64">
        <f>(EXP(2 * AG40) - 1) / (EXP(2 * AG40) + 1)</f>
        <v>0.33738525381119577</v>
      </c>
      <c r="AK40" s="58">
        <f>AJ40-KENTON_ALL</f>
        <v>-0.20947945403882129</v>
      </c>
      <c r="AL40" s="30" t="s">
        <v>47</v>
      </c>
    </row>
    <row r="41" spans="1:38" s="17" customFormat="1">
      <c r="A41" s="62" t="s">
        <v>28</v>
      </c>
      <c r="B41" s="18" t="s">
        <v>2</v>
      </c>
      <c r="C41" s="60">
        <v>0.35199999999999998</v>
      </c>
      <c r="D41" s="61">
        <v>2.4199999999999999E-2</v>
      </c>
      <c r="E41" s="61">
        <f t="shared" si="0"/>
        <v>0.36772478012531734</v>
      </c>
      <c r="F41" s="19" t="s">
        <v>79</v>
      </c>
      <c r="H41" s="60">
        <v>0.19400000000000001</v>
      </c>
      <c r="I41" s="61">
        <v>3.6700000000000003E-2</v>
      </c>
      <c r="J41" s="61">
        <f t="shared" si="1"/>
        <v>0.19649027572295952</v>
      </c>
      <c r="K41" s="19" t="s">
        <v>79</v>
      </c>
      <c r="M41" s="60">
        <v>0.13400000000000001</v>
      </c>
      <c r="N41" s="61">
        <v>0.42959999999999998</v>
      </c>
      <c r="O41" s="61">
        <f t="shared" si="2"/>
        <v>0.13481078786263107</v>
      </c>
      <c r="P41" s="19"/>
      <c r="R41" s="60">
        <v>0.27600000000000002</v>
      </c>
      <c r="S41" s="61">
        <v>0.12039999999999999</v>
      </c>
      <c r="T41" s="61">
        <f t="shared" si="3"/>
        <v>0.28334703575950942</v>
      </c>
      <c r="U41" s="19"/>
      <c r="W41" s="60">
        <v>0.86499999999999999</v>
      </c>
      <c r="X41" s="61">
        <v>0</v>
      </c>
      <c r="Y41" s="61">
        <f t="shared" si="4"/>
        <v>1.3128707768197432</v>
      </c>
      <c r="Z41" s="19" t="s">
        <v>79</v>
      </c>
      <c r="AB41" s="60">
        <v>0.86499999999999999</v>
      </c>
      <c r="AC41" s="61">
        <v>0</v>
      </c>
      <c r="AD41" s="61">
        <f t="shared" si="5"/>
        <v>1.3128707768197432</v>
      </c>
      <c r="AE41" s="19" t="s">
        <v>79</v>
      </c>
      <c r="AG41" s="63">
        <f>(IF(F41="Y", E41, 0) + IF(K41="Y", J41, 0) + IF(P41="Y", O41, 0) + IF(U41="Y", T41, 0) + IF(Z41="Y", Y41, 0) + IF(AE41="Y", AD41, 0)) / (IF(F41="Y", 1, 0) + IF(K41="Y", 1, 0) + IF(P41="Y", 1, 0) + IF(U41="Y", 1, 0) + IF(Z41="Y", 1, 0) + IF(AE41="Y", 1, 0))</f>
        <v>0.79748915237194073</v>
      </c>
      <c r="AI41" s="64">
        <f>(IF(F41="Y", C41, 0) + IF(K41="Y", H41, 0) + IF(P41="Y", M41, 0) + IF(U41="Y", R41, 0) + IF(Z41="Y", W41, 0) + IF(AE41="Y", AB41, 0)) / (IF(F41="Y", 1, 0) + IF(K41="Y", 1, 0) + IF(P41="Y", 1, 0) + IF(U41="Y", 1, 0) + IF(Z41="Y", 1, 0) + IF(AE41="Y", 1, 0))</f>
        <v>0.56899999999999995</v>
      </c>
      <c r="AJ41" s="64">
        <f>(EXP(2 * AG41) - 1) / (EXP(2 * AG41) + 1)</f>
        <v>0.66263072659092348</v>
      </c>
      <c r="AK41" s="58">
        <f>AJ41-KENTON_ALL</f>
        <v>0.11576601874090642</v>
      </c>
      <c r="AL41" s="30" t="s">
        <v>59</v>
      </c>
    </row>
    <row r="42" spans="1:38" s="17" customFormat="1">
      <c r="A42" s="62" t="s">
        <v>28</v>
      </c>
      <c r="B42" s="18" t="s">
        <v>5</v>
      </c>
      <c r="C42" s="60">
        <v>0.46200000000000002</v>
      </c>
      <c r="D42" s="61">
        <v>2.3E-3</v>
      </c>
      <c r="E42" s="61">
        <f t="shared" si="0"/>
        <v>0.49985104007396969</v>
      </c>
      <c r="F42" s="19" t="s">
        <v>79</v>
      </c>
      <c r="H42" s="60">
        <v>0.34100000000000003</v>
      </c>
      <c r="I42" s="61">
        <v>2.0000000000000001E-4</v>
      </c>
      <c r="J42" s="61">
        <f t="shared" si="1"/>
        <v>0.35522367438958558</v>
      </c>
      <c r="K42" s="19" t="s">
        <v>79</v>
      </c>
      <c r="M42" s="60">
        <v>-0.11</v>
      </c>
      <c r="N42" s="61">
        <v>0.51570000000000005</v>
      </c>
      <c r="O42" s="61">
        <f t="shared" si="2"/>
        <v>-0.1104469157900972</v>
      </c>
      <c r="P42" s="19"/>
      <c r="R42" s="60">
        <v>0.61699999999999999</v>
      </c>
      <c r="S42" s="61">
        <v>1E-4</v>
      </c>
      <c r="T42" s="61">
        <f t="shared" si="3"/>
        <v>0.72014643519823052</v>
      </c>
      <c r="U42" s="19" t="s">
        <v>79</v>
      </c>
      <c r="W42" s="60">
        <v>0.76700000000000002</v>
      </c>
      <c r="X42" s="61">
        <v>0</v>
      </c>
      <c r="Y42" s="61">
        <f t="shared" si="4"/>
        <v>1.013000009376998</v>
      </c>
      <c r="Z42" s="19" t="s">
        <v>79</v>
      </c>
      <c r="AB42" s="60">
        <v>0.68600000000000005</v>
      </c>
      <c r="AC42" s="61">
        <v>0</v>
      </c>
      <c r="AD42" s="61">
        <f t="shared" si="5"/>
        <v>0.84036057632677374</v>
      </c>
      <c r="AE42" s="19" t="s">
        <v>79</v>
      </c>
      <c r="AG42" s="63">
        <f>(IF(F42="Y", E42, 0) + IF(K42="Y", J42, 0) + IF(P42="Y", O42, 0) + IF(U42="Y", T42, 0) + IF(Z42="Y", Y42, 0) + IF(AE42="Y", AD42, 0)) / (IF(F42="Y", 1, 0) + IF(K42="Y", 1, 0) + IF(P42="Y", 1, 0) + IF(U42="Y", 1, 0) + IF(Z42="Y", 1, 0) + IF(AE42="Y", 1, 0))</f>
        <v>0.68571634707311158</v>
      </c>
      <c r="AI42" s="64">
        <f>(IF(F42="Y", C42, 0) + IF(K42="Y", H42, 0) + IF(P42="Y", M42, 0) + IF(U42="Y", R42, 0) + IF(Z42="Y", W42, 0) + IF(AE42="Y", AB42, 0)) / (IF(F42="Y", 1, 0) + IF(K42="Y", 1, 0) + IF(P42="Y", 1, 0) + IF(U42="Y", 1, 0) + IF(Z42="Y", 1, 0) + IF(AE42="Y", 1, 0))</f>
        <v>0.5746</v>
      </c>
      <c r="AJ42" s="64">
        <f>(EXP(2 * AG42) - 1) / (EXP(2 * AG42) + 1)</f>
        <v>0.59522305648830176</v>
      </c>
      <c r="AK42" s="58">
        <f>AJ42-KENTON_ALL</f>
        <v>4.8358348638284698E-2</v>
      </c>
      <c r="AL42" s="30" t="s">
        <v>58</v>
      </c>
    </row>
    <row r="43" spans="1:38" s="17" customFormat="1">
      <c r="A43" s="62" t="s">
        <v>28</v>
      </c>
      <c r="B43" s="18" t="s">
        <v>6</v>
      </c>
      <c r="C43" s="60">
        <v>0.45800000000000002</v>
      </c>
      <c r="D43" s="61">
        <v>2.5999999999999999E-3</v>
      </c>
      <c r="E43" s="61">
        <f t="shared" si="0"/>
        <v>0.49477745556447855</v>
      </c>
      <c r="F43" s="19" t="s">
        <v>79</v>
      </c>
      <c r="H43" s="60">
        <v>0.14199999999999999</v>
      </c>
      <c r="I43" s="61">
        <v>0.12709999999999999</v>
      </c>
      <c r="J43" s="61">
        <f t="shared" si="1"/>
        <v>0.14296614536399657</v>
      </c>
      <c r="K43" s="19"/>
      <c r="M43" s="60">
        <v>0.114</v>
      </c>
      <c r="N43" s="61">
        <v>0.50329999999999997</v>
      </c>
      <c r="O43" s="61">
        <f t="shared" si="2"/>
        <v>0.11449773494107426</v>
      </c>
      <c r="P43" s="19"/>
      <c r="R43" s="60">
        <v>3.6999999999999998E-2</v>
      </c>
      <c r="S43" s="61">
        <v>0.83799999999999997</v>
      </c>
      <c r="T43" s="61">
        <f t="shared" si="3"/>
        <v>3.7016898215700859E-2</v>
      </c>
      <c r="U43" s="19"/>
      <c r="W43" s="60">
        <v>0.70499999999999996</v>
      </c>
      <c r="X43" s="61">
        <v>2.0000000000000001E-4</v>
      </c>
      <c r="Y43" s="61">
        <f t="shared" si="4"/>
        <v>0.87717251668889862</v>
      </c>
      <c r="Z43" s="19" t="s">
        <v>79</v>
      </c>
      <c r="AB43" s="60">
        <v>0.85699999999999998</v>
      </c>
      <c r="AC43" s="61">
        <v>0</v>
      </c>
      <c r="AD43" s="61">
        <f t="shared" si="5"/>
        <v>1.2819364655463992</v>
      </c>
      <c r="AE43" s="19" t="s">
        <v>79</v>
      </c>
      <c r="AG43" s="63">
        <f>(IF(F43="Y", E43, 0) + IF(K43="Y", J43, 0) + IF(P43="Y", O43, 0) + IF(U43="Y", T43, 0) + IF(Z43="Y", Y43, 0) + IF(AE43="Y", AD43, 0)) / (IF(F43="Y", 1, 0) + IF(K43="Y", 1, 0) + IF(P43="Y", 1, 0) + IF(U43="Y", 1, 0) + IF(Z43="Y", 1, 0) + IF(AE43="Y", 1, 0))</f>
        <v>0.88462881259992543</v>
      </c>
      <c r="AI43" s="64">
        <f>(IF(F43="Y", C43, 0) + IF(K43="Y", H43, 0) + IF(P43="Y", M43, 0) + IF(U43="Y", R43, 0) + IF(Z43="Y", W43, 0) + IF(AE43="Y", AB43, 0)) / (IF(F43="Y", 1, 0) + IF(K43="Y", 1, 0) + IF(P43="Y", 1, 0) + IF(U43="Y", 1, 0) + IF(Z43="Y", 1, 0) + IF(AE43="Y", 1, 0))</f>
        <v>0.67333333333333334</v>
      </c>
      <c r="AJ43" s="64">
        <f>(EXP(2 * AG43) - 1) / (EXP(2 * AG43) + 1)</f>
        <v>0.70873065043159866</v>
      </c>
      <c r="AK43" s="58">
        <f>AJ43-KENTON_ALL</f>
        <v>0.1618659425815816</v>
      </c>
      <c r="AL43" s="30" t="s">
        <v>43</v>
      </c>
    </row>
    <row r="44" spans="1:38" s="17" customFormat="1">
      <c r="A44" s="62" t="s">
        <v>28</v>
      </c>
      <c r="B44" s="18" t="s">
        <v>7</v>
      </c>
      <c r="C44" s="60">
        <v>0.26</v>
      </c>
      <c r="D44" s="61">
        <v>0.1007</v>
      </c>
      <c r="E44" s="61">
        <f t="shared" si="0"/>
        <v>0.26610840687365411</v>
      </c>
      <c r="F44" s="19"/>
      <c r="H44" s="60">
        <v>0.23400000000000001</v>
      </c>
      <c r="I44" s="61">
        <v>1.15E-2</v>
      </c>
      <c r="J44" s="61">
        <f t="shared" si="1"/>
        <v>0.23841701736237089</v>
      </c>
      <c r="K44" s="19" t="s">
        <v>79</v>
      </c>
      <c r="M44" s="60">
        <v>3.0000000000000001E-3</v>
      </c>
      <c r="N44" s="61">
        <v>0.98519999999999996</v>
      </c>
      <c r="O44" s="61">
        <f t="shared" si="2"/>
        <v>3.0000090000486005E-3</v>
      </c>
      <c r="P44" s="19"/>
      <c r="R44" s="60">
        <v>0.13</v>
      </c>
      <c r="S44" s="61">
        <v>0.51070000000000004</v>
      </c>
      <c r="T44" s="61">
        <f t="shared" si="3"/>
        <v>0.13073985002887836</v>
      </c>
      <c r="U44" s="19"/>
      <c r="W44" s="60">
        <v>0.95499999999999996</v>
      </c>
      <c r="X44" s="61">
        <v>0</v>
      </c>
      <c r="Y44" s="61">
        <f t="shared" si="4"/>
        <v>1.8857414913245727</v>
      </c>
      <c r="Z44" s="19" t="s">
        <v>79</v>
      </c>
      <c r="AB44" s="60">
        <v>0.72299999999999998</v>
      </c>
      <c r="AC44" s="61">
        <v>0</v>
      </c>
      <c r="AD44" s="61">
        <f t="shared" si="5"/>
        <v>0.91390236517029544</v>
      </c>
      <c r="AE44" s="19" t="s">
        <v>79</v>
      </c>
      <c r="AG44" s="63">
        <f>(IF(F44="Y", E44, 0) + IF(K44="Y", J44, 0) + IF(P44="Y", O44, 0) + IF(U44="Y", T44, 0) + IF(Z44="Y", Y44, 0) + IF(AE44="Y", AD44, 0)) / (IF(F44="Y", 1, 0) + IF(K44="Y", 1, 0) + IF(P44="Y", 1, 0) + IF(U44="Y", 1, 0) + IF(Z44="Y", 1, 0) + IF(AE44="Y", 1, 0))</f>
        <v>1.0126869579524131</v>
      </c>
      <c r="AI44" s="64">
        <f>(IF(F44="Y", C44, 0) + IF(K44="Y", H44, 0) + IF(P44="Y", M44, 0) + IF(U44="Y", R44, 0) + IF(Z44="Y", W44, 0) + IF(AE44="Y", AB44, 0)) / (IF(F44="Y", 1, 0) + IF(K44="Y", 1, 0) + IF(P44="Y", 1, 0) + IF(U44="Y", 1, 0) + IF(Z44="Y", 1, 0) + IF(AE44="Y", 1, 0))</f>
        <v>0.63733333333333331</v>
      </c>
      <c r="AJ44" s="64">
        <f>(EXP(2 * AG44) - 1) / (EXP(2 * AG44) + 1)</f>
        <v>0.7668710823346665</v>
      </c>
      <c r="AK44" s="58">
        <f>AJ44-KENTON_ALL</f>
        <v>0.22000637448464944</v>
      </c>
      <c r="AL44" s="30" t="s">
        <v>44</v>
      </c>
    </row>
    <row r="45" spans="1:38" s="17" customFormat="1">
      <c r="A45" s="62"/>
      <c r="B45" s="18"/>
      <c r="C45" s="60"/>
      <c r="D45" s="61"/>
      <c r="E45" s="61"/>
      <c r="F45" s="19"/>
      <c r="H45" s="60"/>
      <c r="I45" s="61"/>
      <c r="J45" s="61"/>
      <c r="K45" s="19"/>
      <c r="M45" s="60"/>
      <c r="N45" s="61"/>
      <c r="O45" s="61"/>
      <c r="P45" s="19"/>
      <c r="R45" s="60"/>
      <c r="S45" s="61"/>
      <c r="T45" s="61"/>
      <c r="U45" s="19"/>
      <c r="W45" s="60"/>
      <c r="X45" s="61"/>
      <c r="Y45" s="61"/>
      <c r="Z45" s="19"/>
      <c r="AB45" s="60"/>
      <c r="AC45" s="61"/>
      <c r="AD45" s="61"/>
      <c r="AE45" s="19"/>
      <c r="AG45" s="63"/>
      <c r="AI45" s="64"/>
      <c r="AJ45" s="64"/>
      <c r="AK45" s="58"/>
      <c r="AL45" s="30"/>
    </row>
    <row r="46" spans="1:38" s="17" customFormat="1">
      <c r="A46" s="62"/>
      <c r="B46" s="18" t="s">
        <v>10</v>
      </c>
      <c r="C46" s="60"/>
      <c r="D46" s="61"/>
      <c r="E46" s="61"/>
      <c r="F46" s="19"/>
      <c r="H46" s="60"/>
      <c r="I46" s="61"/>
      <c r="J46" s="61"/>
      <c r="K46" s="19"/>
      <c r="M46" s="60"/>
      <c r="N46" s="61"/>
      <c r="O46" s="61"/>
      <c r="P46" s="19"/>
      <c r="R46" s="60"/>
      <c r="S46" s="61"/>
      <c r="T46" s="61"/>
      <c r="U46" s="19"/>
      <c r="W46" s="60"/>
      <c r="X46" s="61"/>
      <c r="Y46" s="61"/>
      <c r="Z46" s="19"/>
      <c r="AB46" s="60"/>
      <c r="AC46" s="61"/>
      <c r="AD46" s="61"/>
      <c r="AE46" s="19"/>
      <c r="AG46" s="63"/>
      <c r="AI46" s="64"/>
      <c r="AJ46" s="64"/>
      <c r="AK46" s="58"/>
      <c r="AL46" s="30" t="s">
        <v>10</v>
      </c>
    </row>
    <row r="47" spans="1:38" s="17" customFormat="1">
      <c r="A47" s="62"/>
      <c r="B47" s="18" t="s">
        <v>20</v>
      </c>
      <c r="C47" s="60"/>
      <c r="D47" s="61"/>
      <c r="E47" s="61"/>
      <c r="F47" s="19"/>
      <c r="H47" s="60"/>
      <c r="I47" s="61"/>
      <c r="J47" s="61"/>
      <c r="K47" s="19"/>
      <c r="M47" s="60"/>
      <c r="N47" s="61"/>
      <c r="O47" s="61"/>
      <c r="P47" s="19"/>
      <c r="R47" s="60"/>
      <c r="S47" s="61"/>
      <c r="T47" s="61"/>
      <c r="U47" s="19"/>
      <c r="W47" s="60"/>
      <c r="X47" s="61"/>
      <c r="Y47" s="61"/>
      <c r="Z47" s="19"/>
      <c r="AB47" s="60"/>
      <c r="AC47" s="61"/>
      <c r="AD47" s="61"/>
      <c r="AE47" s="19"/>
      <c r="AG47" s="63"/>
      <c r="AI47" s="64"/>
      <c r="AJ47" s="64"/>
      <c r="AK47" s="58"/>
      <c r="AL47" s="30" t="s">
        <v>96</v>
      </c>
    </row>
    <row r="48" spans="1:38" s="17" customFormat="1">
      <c r="A48" s="62"/>
      <c r="B48" s="18" t="s">
        <v>2</v>
      </c>
      <c r="C48" s="60"/>
      <c r="D48" s="61"/>
      <c r="E48" s="61"/>
      <c r="F48" s="19"/>
      <c r="H48" s="60"/>
      <c r="I48" s="61"/>
      <c r="J48" s="61"/>
      <c r="K48" s="19"/>
      <c r="M48" s="60"/>
      <c r="N48" s="61"/>
      <c r="O48" s="61"/>
      <c r="P48" s="19"/>
      <c r="R48" s="60"/>
      <c r="S48" s="61"/>
      <c r="T48" s="61"/>
      <c r="U48" s="19"/>
      <c r="W48" s="60"/>
      <c r="X48" s="61"/>
      <c r="Y48" s="61"/>
      <c r="Z48" s="19"/>
      <c r="AB48" s="60"/>
      <c r="AC48" s="61"/>
      <c r="AD48" s="61"/>
      <c r="AE48" s="19"/>
      <c r="AG48" s="63"/>
      <c r="AI48" s="64"/>
      <c r="AJ48" s="64"/>
      <c r="AK48" s="58"/>
      <c r="AL48" s="30" t="s">
        <v>59</v>
      </c>
    </row>
    <row r="49" spans="1:38" s="17" customFormat="1">
      <c r="A49" s="62"/>
      <c r="B49" s="18" t="s">
        <v>17</v>
      </c>
      <c r="C49" s="60"/>
      <c r="D49" s="61"/>
      <c r="E49" s="61"/>
      <c r="F49" s="19"/>
      <c r="H49" s="60"/>
      <c r="I49" s="61"/>
      <c r="J49" s="61"/>
      <c r="K49" s="19"/>
      <c r="M49" s="60"/>
      <c r="N49" s="61"/>
      <c r="O49" s="61"/>
      <c r="P49" s="19"/>
      <c r="R49" s="60"/>
      <c r="S49" s="61"/>
      <c r="T49" s="61"/>
      <c r="U49" s="19"/>
      <c r="W49" s="60"/>
      <c r="X49" s="61"/>
      <c r="Y49" s="61"/>
      <c r="Z49" s="19"/>
      <c r="AB49" s="60"/>
      <c r="AC49" s="61"/>
      <c r="AD49" s="61"/>
      <c r="AE49" s="19"/>
      <c r="AG49" s="63"/>
      <c r="AI49" s="64"/>
      <c r="AJ49" s="64"/>
      <c r="AK49" s="58"/>
      <c r="AL49" s="30" t="s">
        <v>63</v>
      </c>
    </row>
    <row r="50" spans="1:38" s="17" customFormat="1">
      <c r="A50" s="62"/>
      <c r="B50" s="18" t="s">
        <v>18</v>
      </c>
      <c r="C50" s="60"/>
      <c r="D50" s="61"/>
      <c r="E50" s="61"/>
      <c r="F50" s="19"/>
      <c r="H50" s="60"/>
      <c r="I50" s="61"/>
      <c r="J50" s="61"/>
      <c r="K50" s="19"/>
      <c r="M50" s="60"/>
      <c r="N50" s="61"/>
      <c r="O50" s="61"/>
      <c r="P50" s="19"/>
      <c r="R50" s="60"/>
      <c r="S50" s="61"/>
      <c r="T50" s="61"/>
      <c r="U50" s="19"/>
      <c r="W50" s="60"/>
      <c r="X50" s="61"/>
      <c r="Y50" s="61"/>
      <c r="Z50" s="19"/>
      <c r="AB50" s="60"/>
      <c r="AC50" s="61"/>
      <c r="AD50" s="61"/>
      <c r="AE50" s="19"/>
      <c r="AG50" s="63"/>
      <c r="AI50" s="64"/>
      <c r="AJ50" s="64"/>
      <c r="AK50" s="58"/>
      <c r="AL50" s="30" t="s">
        <v>51</v>
      </c>
    </row>
    <row r="51" spans="1:38" s="17" customFormat="1">
      <c r="A51" s="62"/>
      <c r="B51" s="18" t="s">
        <v>19</v>
      </c>
      <c r="C51" s="60"/>
      <c r="D51" s="61"/>
      <c r="E51" s="61"/>
      <c r="F51" s="19"/>
      <c r="H51" s="60"/>
      <c r="I51" s="61"/>
      <c r="J51" s="61"/>
      <c r="K51" s="19"/>
      <c r="M51" s="60"/>
      <c r="N51" s="61"/>
      <c r="O51" s="61"/>
      <c r="P51" s="19"/>
      <c r="R51" s="60"/>
      <c r="S51" s="61"/>
      <c r="T51" s="61"/>
      <c r="U51" s="19"/>
      <c r="W51" s="60"/>
      <c r="X51" s="61"/>
      <c r="Y51" s="61"/>
      <c r="Z51" s="19"/>
      <c r="AB51" s="60"/>
      <c r="AC51" s="61"/>
      <c r="AD51" s="61"/>
      <c r="AE51" s="19"/>
      <c r="AG51" s="63"/>
      <c r="AI51" s="64"/>
      <c r="AJ51" s="64"/>
      <c r="AK51" s="58"/>
      <c r="AL51" s="30" t="s">
        <v>52</v>
      </c>
    </row>
    <row r="52" spans="1:38" s="17" customFormat="1">
      <c r="A52" s="62"/>
      <c r="B52" s="18" t="s">
        <v>5</v>
      </c>
      <c r="C52" s="60"/>
      <c r="D52" s="61"/>
      <c r="E52" s="61"/>
      <c r="F52" s="19"/>
      <c r="H52" s="60"/>
      <c r="I52" s="61"/>
      <c r="J52" s="61"/>
      <c r="K52" s="19"/>
      <c r="M52" s="60"/>
      <c r="N52" s="61"/>
      <c r="O52" s="61"/>
      <c r="P52" s="19"/>
      <c r="R52" s="60"/>
      <c r="S52" s="61"/>
      <c r="T52" s="61"/>
      <c r="U52" s="19"/>
      <c r="W52" s="60"/>
      <c r="X52" s="61"/>
      <c r="Y52" s="61"/>
      <c r="Z52" s="19"/>
      <c r="AB52" s="60"/>
      <c r="AC52" s="61"/>
      <c r="AD52" s="61"/>
      <c r="AE52" s="19"/>
      <c r="AG52" s="63"/>
      <c r="AI52" s="64"/>
      <c r="AJ52" s="64"/>
      <c r="AK52" s="58"/>
      <c r="AL52" s="30" t="s">
        <v>58</v>
      </c>
    </row>
    <row r="53" spans="1:38" s="17" customFormat="1">
      <c r="A53" s="62"/>
      <c r="B53" s="18" t="s">
        <v>6</v>
      </c>
      <c r="C53" s="60"/>
      <c r="D53" s="61"/>
      <c r="E53" s="61"/>
      <c r="F53" s="19"/>
      <c r="H53" s="60"/>
      <c r="I53" s="61"/>
      <c r="J53" s="61"/>
      <c r="K53" s="19"/>
      <c r="M53" s="60"/>
      <c r="N53" s="61"/>
      <c r="O53" s="61"/>
      <c r="P53" s="19"/>
      <c r="R53" s="60"/>
      <c r="S53" s="61"/>
      <c r="T53" s="61"/>
      <c r="U53" s="19"/>
      <c r="W53" s="60"/>
      <c r="X53" s="61"/>
      <c r="Y53" s="61"/>
      <c r="Z53" s="19"/>
      <c r="AB53" s="60"/>
      <c r="AC53" s="61"/>
      <c r="AD53" s="61"/>
      <c r="AE53" s="19"/>
      <c r="AG53" s="63"/>
      <c r="AI53" s="64"/>
      <c r="AJ53" s="64"/>
      <c r="AK53" s="58"/>
      <c r="AL53" s="30" t="s">
        <v>43</v>
      </c>
    </row>
    <row r="54" spans="1:38" s="17" customFormat="1">
      <c r="A54" s="62"/>
      <c r="B54" s="18" t="s">
        <v>7</v>
      </c>
      <c r="C54" s="60"/>
      <c r="D54" s="61"/>
      <c r="E54" s="61"/>
      <c r="F54" s="19"/>
      <c r="H54" s="60"/>
      <c r="I54" s="61"/>
      <c r="J54" s="61"/>
      <c r="K54" s="19"/>
      <c r="M54" s="60"/>
      <c r="N54" s="61"/>
      <c r="O54" s="61"/>
      <c r="P54" s="19"/>
      <c r="R54" s="60"/>
      <c r="S54" s="61"/>
      <c r="T54" s="61"/>
      <c r="U54" s="19"/>
      <c r="W54" s="60"/>
      <c r="X54" s="61"/>
      <c r="Y54" s="61"/>
      <c r="Z54" s="19"/>
      <c r="AB54" s="60"/>
      <c r="AC54" s="61"/>
      <c r="AD54" s="61"/>
      <c r="AE54" s="19"/>
      <c r="AG54" s="63"/>
      <c r="AI54" s="64"/>
      <c r="AJ54" s="64"/>
      <c r="AK54" s="58"/>
      <c r="AL54" s="30" t="s">
        <v>44</v>
      </c>
    </row>
    <row r="55" spans="1:38" s="17" customFormat="1">
      <c r="A55" s="62"/>
      <c r="B55" s="18" t="s">
        <v>8</v>
      </c>
      <c r="C55" s="60"/>
      <c r="D55" s="61"/>
      <c r="E55" s="61"/>
      <c r="F55" s="19"/>
      <c r="H55" s="60"/>
      <c r="I55" s="61"/>
      <c r="J55" s="61"/>
      <c r="K55" s="19"/>
      <c r="M55" s="60"/>
      <c r="N55" s="61"/>
      <c r="O55" s="61"/>
      <c r="P55" s="19"/>
      <c r="R55" s="60"/>
      <c r="S55" s="61"/>
      <c r="T55" s="61"/>
      <c r="U55" s="19"/>
      <c r="W55" s="60"/>
      <c r="X55" s="61"/>
      <c r="Y55" s="61"/>
      <c r="Z55" s="19"/>
      <c r="AB55" s="60"/>
      <c r="AC55" s="61"/>
      <c r="AD55" s="61"/>
      <c r="AE55" s="19"/>
      <c r="AG55" s="63"/>
      <c r="AI55" s="64"/>
      <c r="AJ55" s="64"/>
      <c r="AK55" s="58"/>
      <c r="AL55" s="30"/>
    </row>
    <row r="56" spans="1:38" s="17" customFormat="1">
      <c r="A56" s="62"/>
      <c r="B56" s="18"/>
      <c r="C56" s="60"/>
      <c r="D56" s="61"/>
      <c r="E56" s="61"/>
      <c r="F56" s="19"/>
      <c r="H56" s="60"/>
      <c r="I56" s="61"/>
      <c r="J56" s="61"/>
      <c r="K56" s="19"/>
      <c r="M56" s="60"/>
      <c r="N56" s="61"/>
      <c r="O56" s="61"/>
      <c r="P56" s="19"/>
      <c r="R56" s="60"/>
      <c r="S56" s="61"/>
      <c r="T56" s="61"/>
      <c r="U56" s="19"/>
      <c r="W56" s="60"/>
      <c r="X56" s="61"/>
      <c r="Y56" s="61"/>
      <c r="Z56" s="19"/>
      <c r="AB56" s="60"/>
      <c r="AC56" s="61"/>
      <c r="AD56" s="61"/>
      <c r="AE56" s="19"/>
      <c r="AG56" s="63"/>
      <c r="AI56" s="64"/>
      <c r="AJ56" s="64"/>
      <c r="AK56" s="58"/>
      <c r="AL56" s="30"/>
    </row>
    <row r="57" spans="1:38" s="17" customFormat="1">
      <c r="C57" s="60"/>
      <c r="D57" s="61"/>
      <c r="E57" s="61"/>
      <c r="F57" s="19"/>
      <c r="H57" s="60"/>
      <c r="I57" s="61"/>
      <c r="J57" s="61"/>
      <c r="K57" s="19"/>
      <c r="M57" s="60"/>
      <c r="N57" s="61"/>
      <c r="O57" s="61"/>
      <c r="P57" s="19"/>
      <c r="R57" s="60"/>
      <c r="S57" s="61"/>
      <c r="T57" s="61"/>
      <c r="U57" s="19"/>
      <c r="W57" s="60"/>
      <c r="X57" s="61"/>
      <c r="Y57" s="61"/>
      <c r="Z57" s="19"/>
      <c r="AB57" s="60"/>
      <c r="AC57" s="61"/>
      <c r="AD57" s="61"/>
      <c r="AE57" s="19"/>
      <c r="AI57" s="60"/>
      <c r="AJ57" s="60"/>
      <c r="AK57" s="58"/>
      <c r="AL57" s="30"/>
    </row>
    <row r="58" spans="1:38" s="17" customFormat="1">
      <c r="A58" s="17" t="s">
        <v>87</v>
      </c>
      <c r="C58" s="60"/>
      <c r="D58" s="61"/>
      <c r="E58" s="60"/>
      <c r="F58" s="65">
        <f>COUNTIFS(F7:F55, "Y", A7:A55, "&lt;&gt;") / COUNTA(A7:A55)</f>
        <v>0.5</v>
      </c>
      <c r="H58" s="60"/>
      <c r="I58" s="61"/>
      <c r="J58" s="61"/>
      <c r="K58" s="65">
        <f>COUNTIFS(K7:K55, "Y", A7:A55, "&lt;&gt;") / COUNTA(A7:A55)</f>
        <v>0.5714285714285714</v>
      </c>
      <c r="M58" s="60"/>
      <c r="N58" s="61"/>
      <c r="O58" s="61"/>
      <c r="P58" s="65">
        <f>COUNTIFS(P7:P55, "Y", A7:A55, "&lt;&gt;") / COUNTA(A7:A55)</f>
        <v>7.1428571428571425E-2</v>
      </c>
      <c r="R58" s="60"/>
      <c r="S58" s="61"/>
      <c r="T58" s="61"/>
      <c r="U58" s="65">
        <f>COUNTIFS(U7:U55, "Y", A7:A55, "&lt;&gt;") / COUNTA(A7:A55)</f>
        <v>0.5714285714285714</v>
      </c>
      <c r="W58" s="60"/>
      <c r="X58" s="61"/>
      <c r="Y58" s="61"/>
      <c r="Z58" s="65">
        <f>COUNTIFS(Z7:Z55, "Y", A7:A55, "&lt;&gt;") / COUNTA(A7:A55)</f>
        <v>0.8928571428571429</v>
      </c>
      <c r="AB58" s="60"/>
      <c r="AC58" s="61"/>
      <c r="AD58" s="61"/>
      <c r="AE58" s="65">
        <f>COUNTIFS(AE7:AE55, "Y", A7:A55, "&lt;&gt;") / COUNTA(A7:A55)</f>
        <v>1</v>
      </c>
      <c r="AI58" s="60"/>
      <c r="AJ58" s="60"/>
      <c r="AK58" s="55"/>
      <c r="AL58" s="30"/>
    </row>
    <row r="59" spans="1:38" s="17" customFormat="1">
      <c r="A59" s="17" t="s">
        <v>88</v>
      </c>
      <c r="C59" s="60"/>
      <c r="D59" s="61"/>
      <c r="E59" s="60">
        <f>AVERAGEIFS(E7:E55,B7:B55, "&lt;&gt;ALL",F7:F55, "Y")</f>
        <v>0.52536495260888394</v>
      </c>
      <c r="F59" s="65"/>
      <c r="H59" s="60"/>
      <c r="I59" s="61"/>
      <c r="J59" s="60">
        <f>AVERAGEIFS(J7:J55,B7:B55, "&lt;&gt;ALL",K7:K55, "Y")</f>
        <v>0.32546962023183951</v>
      </c>
      <c r="K59" s="65"/>
      <c r="M59" s="60"/>
      <c r="N59" s="61"/>
      <c r="O59" s="60">
        <f>AVERAGEIFS(O7:O55,B7:B55, "&lt;&gt;ALL",P7:P55, "Y")</f>
        <v>1.4162476921810191E-2</v>
      </c>
      <c r="P59" s="65"/>
      <c r="R59" s="60"/>
      <c r="S59" s="61"/>
      <c r="T59" s="60">
        <f>AVERAGEIFS(T7:T55,B7:B55, "&lt;&gt;ALL",U7:U55, "Y")</f>
        <v>0.55477749764210782</v>
      </c>
      <c r="U59" s="65"/>
      <c r="W59" s="60"/>
      <c r="X59" s="61"/>
      <c r="Y59" s="60">
        <f>AVERAGEIFS(Y7:Y55,B7:B55, "&lt;&gt;ALL",Z7:Z55, "Y")</f>
        <v>0.87285222816267405</v>
      </c>
      <c r="Z59" s="65"/>
      <c r="AB59" s="60"/>
      <c r="AC59" s="61"/>
      <c r="AD59" s="60">
        <f>AVERAGEIFS(AD7:AD55,B7:B55, "&lt;&gt;ALL",AE7:AE55, "Y")</f>
        <v>0.92371883997326887</v>
      </c>
      <c r="AE59" s="65"/>
      <c r="AI59" s="60"/>
      <c r="AJ59" s="60"/>
      <c r="AK59" s="55"/>
      <c r="AL59" s="30"/>
    </row>
    <row r="60" spans="1:38" s="17" customFormat="1">
      <c r="A60" s="17" t="s">
        <v>89</v>
      </c>
      <c r="C60" s="60"/>
      <c r="D60" s="61"/>
      <c r="E60" s="60">
        <f>AVERAGEIFS(E7:E55,B7:B55, "ALL",F7:F55, "Y")</f>
        <v>0.2544427307133475</v>
      </c>
      <c r="F60" s="65"/>
      <c r="H60" s="60"/>
      <c r="I60" s="61"/>
      <c r="J60" s="60">
        <f>AVERAGEIFS(J7:J55,B7:B55, "ALL",K7:K55, "Y")</f>
        <v>0.15881890536298676</v>
      </c>
      <c r="K60" s="65"/>
      <c r="M60" s="60"/>
      <c r="N60" s="61"/>
      <c r="O60" s="66" t="s">
        <v>92</v>
      </c>
      <c r="P60" s="65"/>
      <c r="R60" s="60"/>
      <c r="S60" s="61"/>
      <c r="T60" s="60">
        <f>AVERAGEIFS(T7:T55,B7:B55, "ALL",U7:U55, "Y")</f>
        <v>0.3473393681177015</v>
      </c>
      <c r="U60" s="65"/>
      <c r="W60" s="60"/>
      <c r="X60" s="61"/>
      <c r="Y60" s="60">
        <f>AVERAGEIFS(Y7:Y55,B7:B55, "ALL",Z7:Z55, "Y")</f>
        <v>0.8829586612163034</v>
      </c>
      <c r="Z60" s="65"/>
      <c r="AB60" s="60"/>
      <c r="AC60" s="61"/>
      <c r="AD60" s="60">
        <f>AVERAGEIFS(AD7:AD55,B7:B55, "ALL",AE7:AE55, "Y")</f>
        <v>0.88034712137594695</v>
      </c>
      <c r="AE60" s="65"/>
      <c r="AI60" s="60"/>
      <c r="AJ60" s="60"/>
      <c r="AK60" s="55"/>
      <c r="AL60" s="30"/>
    </row>
    <row r="61" spans="1:38" s="17" customFormat="1">
      <c r="C61" s="60"/>
      <c r="D61" s="61"/>
      <c r="E61" s="60"/>
      <c r="F61" s="65"/>
      <c r="H61" s="60"/>
      <c r="I61" s="61"/>
      <c r="J61" s="60"/>
      <c r="K61" s="65"/>
      <c r="M61" s="60"/>
      <c r="N61" s="61"/>
      <c r="O61" s="60"/>
      <c r="P61" s="65"/>
      <c r="R61" s="60"/>
      <c r="S61" s="61"/>
      <c r="T61" s="60"/>
      <c r="U61" s="65"/>
      <c r="W61" s="60"/>
      <c r="X61" s="61"/>
      <c r="Y61" s="60"/>
      <c r="Z61" s="65"/>
      <c r="AB61" s="60"/>
      <c r="AC61" s="61"/>
      <c r="AD61" s="60"/>
      <c r="AE61" s="65"/>
      <c r="AI61" s="60"/>
      <c r="AJ61" s="60"/>
      <c r="AK61" s="55"/>
      <c r="AL61" s="30"/>
    </row>
    <row r="62" spans="1:38" s="22" customFormat="1">
      <c r="A62" s="22" t="s">
        <v>113</v>
      </c>
      <c r="C62" s="64">
        <f>AVERAGEIFS(C:C,B:B, "&lt;&gt;ALL",F:F, "Y")</f>
        <v>0.46672727272727266</v>
      </c>
      <c r="D62" s="67"/>
      <c r="E62" s="64">
        <f>(EXP(2 * E59) - 1) / (EXP(2 * E59) + 1)</f>
        <v>0.48183007276802925</v>
      </c>
      <c r="F62" s="23"/>
      <c r="H62" s="64">
        <f>AVERAGEIFS(H:H,B:B, "&lt;&gt;ALL",K:K, "Y")</f>
        <v>0.30230769230769233</v>
      </c>
      <c r="I62" s="67"/>
      <c r="J62" s="64">
        <f>(EXP(2 * J59) - 1) / (EXP(2 * J59) + 1)</f>
        <v>0.31444417428303728</v>
      </c>
      <c r="K62" s="23"/>
      <c r="M62" s="64">
        <f>AVERAGEIFS(M:M,B:B, "&lt;&gt;ALL",P:P, "Y")</f>
        <v>1.2499999999999983E-2</v>
      </c>
      <c r="N62" s="67"/>
      <c r="O62" s="64">
        <f>(EXP(2 * O59) - 1) / (EXP(2 * O59) + 1)</f>
        <v>1.4161530114617136E-2</v>
      </c>
      <c r="P62" s="23"/>
      <c r="R62" s="64">
        <f>AVERAGEIFS(R:R,B:B, "&lt;&gt;ALL",U:U, "Y")</f>
        <v>0.49546153846153845</v>
      </c>
      <c r="S62" s="67"/>
      <c r="T62" s="64">
        <f>(EXP(2 * T59) - 1) / (EXP(2 * T59) + 1)</f>
        <v>0.50409227899392739</v>
      </c>
      <c r="U62" s="23"/>
      <c r="W62" s="64">
        <f>AVERAGEIFS(W:W,B:B, "&lt;&gt;ALL",Z:Z, "Y")</f>
        <v>0.66318181818181821</v>
      </c>
      <c r="X62" s="67"/>
      <c r="Y62" s="64">
        <f>(EXP(2 * Y59) - 1) / (EXP(2 * Y59) + 1)</f>
        <v>0.70282037773839157</v>
      </c>
      <c r="Z62" s="23"/>
      <c r="AB62" s="64">
        <f>AVERAGEIFS(AB:AB,B:B, "&lt;&gt;ALL",AE:AE, "Y")</f>
        <v>0.67259999999999986</v>
      </c>
      <c r="AC62" s="67"/>
      <c r="AD62" s="64">
        <f>(EXP(2 * AD59) - 1) / (EXP(2 * AD59) + 1)</f>
        <v>0.72765195296274499</v>
      </c>
      <c r="AE62" s="23"/>
      <c r="AI62" s="64"/>
      <c r="AJ62" s="64"/>
      <c r="AK62" s="59"/>
      <c r="AL62" s="30"/>
    </row>
    <row r="63" spans="1:38" s="22" customFormat="1">
      <c r="A63" s="22" t="s">
        <v>112</v>
      </c>
      <c r="C63" s="64">
        <f>AVERAGEIFS(C:C,B:B, "ALL",F:F, "Y")</f>
        <v>0.24633333333333332</v>
      </c>
      <c r="D63" s="67"/>
      <c r="E63" s="64">
        <f>(EXP(2 * E60) - 1) / (EXP(2 * E60) + 1)</f>
        <v>0.24909032857502619</v>
      </c>
      <c r="F63" s="23"/>
      <c r="H63" s="64">
        <f>AVERAGEIFS(H:H,B:B, "ALL",K:K, "Y")</f>
        <v>0.157</v>
      </c>
      <c r="I63" s="67"/>
      <c r="J63" s="64">
        <f>(EXP(2 * J60) - 1) / (EXP(2 * J60) + 1)</f>
        <v>0.15749692179554636</v>
      </c>
      <c r="K63" s="23"/>
      <c r="M63" s="68" t="s">
        <v>92</v>
      </c>
      <c r="N63" s="69"/>
      <c r="O63" s="68" t="s">
        <v>92</v>
      </c>
      <c r="P63" s="23"/>
      <c r="R63" s="64">
        <f>AVERAGEIFS(R:R,B:B, "ALL",U:U, "Y")</f>
        <v>0.33333333333333331</v>
      </c>
      <c r="S63" s="67"/>
      <c r="T63" s="64">
        <f>(EXP(2 * T60) - 1) / (EXP(2 * T60) + 1)</f>
        <v>0.3340138509032014</v>
      </c>
      <c r="U63" s="23"/>
      <c r="W63" s="64">
        <f>AVERAGEIFS(W:W,B:B, "ALL",Z:Z, "Y")</f>
        <v>0.68</v>
      </c>
      <c r="X63" s="67"/>
      <c r="Y63" s="64">
        <f>(EXP(2 * Y60) - 1) / (EXP(2 * Y60) + 1)</f>
        <v>0.70789843032834299</v>
      </c>
      <c r="Z63" s="23"/>
      <c r="AB63" s="64">
        <f>AVERAGEIFS(AB:AB,B:B, "ALL",AE:AE, "Y")</f>
        <v>0.70533333333333326</v>
      </c>
      <c r="AC63" s="67"/>
      <c r="AD63" s="64">
        <f>(EXP(2 * AD60) - 1) / (EXP(2 * AD60) + 1)</f>
        <v>0.70659317575962244</v>
      </c>
      <c r="AE63" s="23"/>
      <c r="AI63" s="64"/>
      <c r="AJ63" s="64"/>
      <c r="AK63" s="59"/>
      <c r="AL63" s="30"/>
    </row>
    <row r="64" spans="1:38" s="17" customFormat="1">
      <c r="C64" s="70" t="s">
        <v>90</v>
      </c>
      <c r="D64" s="61"/>
      <c r="E64" s="70" t="s">
        <v>91</v>
      </c>
      <c r="F64" s="19"/>
      <c r="H64" s="70" t="s">
        <v>90</v>
      </c>
      <c r="I64" s="61"/>
      <c r="J64" s="70" t="s">
        <v>91</v>
      </c>
      <c r="K64" s="19"/>
      <c r="M64" s="70" t="s">
        <v>90</v>
      </c>
      <c r="N64" s="61"/>
      <c r="O64" s="70" t="s">
        <v>91</v>
      </c>
      <c r="P64" s="19"/>
      <c r="R64" s="70" t="s">
        <v>90</v>
      </c>
      <c r="S64" s="61"/>
      <c r="T64" s="70" t="s">
        <v>91</v>
      </c>
      <c r="U64" s="19"/>
      <c r="W64" s="70" t="s">
        <v>90</v>
      </c>
      <c r="X64" s="61"/>
      <c r="Y64" s="70" t="s">
        <v>91</v>
      </c>
      <c r="Z64" s="19"/>
      <c r="AB64" s="70" t="s">
        <v>90</v>
      </c>
      <c r="AC64" s="61"/>
      <c r="AD64" s="70" t="s">
        <v>91</v>
      </c>
      <c r="AE64" s="19"/>
      <c r="AI64" s="60"/>
      <c r="AJ64" s="60"/>
      <c r="AK64" s="55"/>
      <c r="AL64" s="30"/>
    </row>
    <row r="65" spans="1:38" s="17" customFormat="1">
      <c r="C65" s="60"/>
      <c r="D65" s="61"/>
      <c r="E65" s="60"/>
      <c r="F65" s="19"/>
      <c r="H65" s="60"/>
      <c r="I65" s="61"/>
      <c r="J65" s="61"/>
      <c r="K65" s="19"/>
      <c r="M65" s="60"/>
      <c r="N65" s="61"/>
      <c r="O65" s="61"/>
      <c r="P65" s="19"/>
      <c r="R65" s="60"/>
      <c r="S65" s="61"/>
      <c r="T65" s="61"/>
      <c r="U65" s="19"/>
      <c r="W65" s="60"/>
      <c r="X65" s="61"/>
      <c r="Y65" s="61"/>
      <c r="Z65" s="19"/>
      <c r="AB65" s="60"/>
      <c r="AC65" s="61"/>
      <c r="AD65" s="61"/>
      <c r="AE65" s="19"/>
      <c r="AI65" s="60"/>
      <c r="AJ65" s="60"/>
      <c r="AK65" s="55"/>
      <c r="AL65" s="30"/>
    </row>
    <row r="66" spans="1:38" s="17" customFormat="1">
      <c r="A66" s="17" t="s">
        <v>114</v>
      </c>
      <c r="C66" s="34" t="s">
        <v>97</v>
      </c>
      <c r="D66" s="71"/>
      <c r="E66" s="71"/>
      <c r="F66" s="19"/>
      <c r="G66" s="19"/>
      <c r="H66" s="34" t="s">
        <v>98</v>
      </c>
      <c r="I66" s="71"/>
      <c r="J66" s="71"/>
      <c r="K66" s="19"/>
      <c r="L66" s="19"/>
      <c r="M66" s="34" t="s">
        <v>99</v>
      </c>
      <c r="N66" s="71"/>
      <c r="O66" s="71"/>
      <c r="P66" s="19"/>
      <c r="Q66" s="19"/>
      <c r="R66" s="34" t="s">
        <v>100</v>
      </c>
      <c r="S66" s="71"/>
      <c r="T66" s="71"/>
      <c r="U66" s="19"/>
      <c r="V66" s="19"/>
      <c r="W66" s="34" t="s">
        <v>101</v>
      </c>
      <c r="X66" s="71"/>
      <c r="Y66" s="71"/>
      <c r="Z66" s="19"/>
      <c r="AA66" s="19"/>
      <c r="AB66" s="34" t="s">
        <v>102</v>
      </c>
      <c r="AC66" s="71"/>
      <c r="AD66" s="71"/>
      <c r="AE66" s="19"/>
      <c r="AF66" s="19"/>
      <c r="AG66" s="19"/>
      <c r="AI66" s="60"/>
      <c r="AJ66" s="60"/>
      <c r="AK66" s="55"/>
      <c r="AL66" s="30"/>
    </row>
    <row r="68" spans="1:38">
      <c r="A68" t="s">
        <v>80</v>
      </c>
    </row>
    <row r="69" spans="1:38">
      <c r="A69" t="s">
        <v>84</v>
      </c>
    </row>
    <row r="70" spans="1:38">
      <c r="A70" t="s">
        <v>93</v>
      </c>
    </row>
    <row r="71" spans="1:38">
      <c r="A71" t="s">
        <v>85</v>
      </c>
    </row>
    <row r="72" spans="1:38">
      <c r="A72" t="s">
        <v>86</v>
      </c>
    </row>
    <row r="75" spans="1:38">
      <c r="B75" s="18"/>
    </row>
    <row r="76" spans="1:38">
      <c r="B76" s="18"/>
    </row>
    <row r="77" spans="1:38">
      <c r="B77" s="18"/>
    </row>
    <row r="78" spans="1:38">
      <c r="B78" s="18"/>
    </row>
    <row r="79" spans="1:38">
      <c r="B79" s="18"/>
    </row>
  </sheetData>
  <mergeCells count="14">
    <mergeCell ref="AI4:AJ4"/>
    <mergeCell ref="C3:F3"/>
    <mergeCell ref="H3:K3"/>
    <mergeCell ref="M3:P3"/>
    <mergeCell ref="R3:U3"/>
    <mergeCell ref="W3:Z3"/>
    <mergeCell ref="AB3:AE3"/>
    <mergeCell ref="AI3:AJ3"/>
    <mergeCell ref="R4:U4"/>
    <mergeCell ref="W4:Z4"/>
    <mergeCell ref="AB4:AE4"/>
    <mergeCell ref="C4:F4"/>
    <mergeCell ref="H4:K4"/>
    <mergeCell ref="M4:P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76"/>
  <sheetViews>
    <sheetView topLeftCell="A16" workbookViewId="0">
      <selection activeCell="X3" sqref="X3"/>
    </sheetView>
  </sheetViews>
  <sheetFormatPr defaultRowHeight="14.4"/>
  <cols>
    <col min="1" max="1" width="9.77734375" style="91" customWidth="1"/>
    <col min="2" max="2" width="22.88671875" customWidth="1"/>
    <col min="3" max="3" width="7.77734375" style="38" customWidth="1"/>
    <col min="4" max="4" width="7.77734375" style="36" customWidth="1"/>
    <col min="5" max="5" width="1.88671875" style="2" customWidth="1"/>
    <col min="6" max="6" width="7.77734375" style="38" customWidth="1"/>
    <col min="7" max="7" width="7.77734375" style="36" customWidth="1"/>
    <col min="8" max="8" width="1.88671875" style="2" customWidth="1"/>
    <col min="9" max="9" width="7.77734375" style="38" customWidth="1"/>
    <col min="10" max="10" width="7.77734375" style="36" customWidth="1"/>
    <col min="11" max="11" width="1.88671875" style="2" customWidth="1"/>
    <col min="12" max="12" width="7.77734375" style="38" customWidth="1"/>
    <col min="13" max="13" width="7.77734375" style="36" customWidth="1"/>
    <col min="14" max="14" width="1.88671875" style="2" customWidth="1"/>
    <col min="15" max="15" width="7.77734375" style="38" customWidth="1"/>
    <col min="16" max="16" width="7.77734375" style="36" customWidth="1"/>
    <col min="17" max="17" width="1.88671875" style="2" customWidth="1"/>
    <col min="18" max="18" width="7.77734375" style="38" customWidth="1"/>
    <col min="19" max="19" width="7.77734375" style="36" customWidth="1"/>
    <col min="20" max="20" width="1.88671875" style="2" customWidth="1"/>
    <col min="21" max="21" width="8.5546875" style="38" customWidth="1"/>
    <col min="22" max="22" width="7" style="55" customWidth="1"/>
    <col min="23" max="23" width="4.6640625" style="30" customWidth="1"/>
  </cols>
  <sheetData>
    <row r="1" spans="1:23" ht="18">
      <c r="A1" s="87" t="s">
        <v>110</v>
      </c>
    </row>
    <row r="2" spans="1:23" ht="9" customHeight="1"/>
    <row r="3" spans="1:23" ht="49.8" customHeight="1">
      <c r="A3" s="96" t="s">
        <v>111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</row>
    <row r="4" spans="1:23" s="1" customFormat="1">
      <c r="A4" s="88" t="str">
        <f>'PFEF SRC'!A4</f>
        <v>Persona</v>
      </c>
      <c r="B4" s="86" t="str">
        <f>'PFEF SRC'!B4</f>
        <v>Model</v>
      </c>
      <c r="C4" s="92" t="str">
        <f>'PFEF SRC'!C3</f>
        <v>vanilla-mode1-01</v>
      </c>
      <c r="D4" s="92"/>
      <c r="E4" s="49"/>
      <c r="F4" s="92" t="str">
        <f>'PFEF SRC'!H3</f>
        <v>vanilla-mode1-02</v>
      </c>
      <c r="G4" s="92"/>
      <c r="H4" s="49"/>
      <c r="I4" s="92" t="str">
        <f>'PFEF SRC'!M3</f>
        <v>vanilla-mode2-01</v>
      </c>
      <c r="J4" s="92"/>
      <c r="K4" s="49"/>
      <c r="L4" s="92" t="str">
        <f>'PFEF SRC'!R3</f>
        <v>base-mode2-01</v>
      </c>
      <c r="M4" s="92"/>
      <c r="N4" s="49"/>
      <c r="O4" s="92" t="str">
        <f>'PFEF SRC'!W3</f>
        <v>vanilla4-mode2-01</v>
      </c>
      <c r="P4" s="92"/>
      <c r="Q4" s="49"/>
      <c r="R4" s="92" t="str">
        <f>'PFEF SRC'!AB3</f>
        <v>vanilla4o-mode2-01</v>
      </c>
      <c r="S4" s="92"/>
      <c r="T4" s="3"/>
      <c r="U4" s="76" t="s">
        <v>103</v>
      </c>
      <c r="V4" s="56"/>
      <c r="W4" s="30"/>
    </row>
    <row r="5" spans="1:23" s="48" customFormat="1" ht="13.8">
      <c r="A5" s="88"/>
      <c r="B5" s="86"/>
      <c r="C5" s="93" t="str">
        <f>'PFEF SRC'!C5</f>
        <v>r</v>
      </c>
      <c r="D5" s="94" t="str">
        <f>'PFEF SRC'!D5</f>
        <v>p</v>
      </c>
      <c r="E5" s="95"/>
      <c r="F5" s="93" t="str">
        <f>'PFEF SRC'!H5</f>
        <v>r</v>
      </c>
      <c r="G5" s="94" t="str">
        <f>'PFEF SRC'!I5</f>
        <v>p</v>
      </c>
      <c r="H5" s="95"/>
      <c r="I5" s="93" t="str">
        <f>'PFEF SRC'!M5</f>
        <v>r</v>
      </c>
      <c r="J5" s="94" t="str">
        <f>'PFEF SRC'!N5</f>
        <v>p</v>
      </c>
      <c r="K5" s="95"/>
      <c r="L5" s="93" t="str">
        <f>'PFEF SRC'!R5</f>
        <v>r</v>
      </c>
      <c r="M5" s="94" t="str">
        <f>'PFEF SRC'!S5</f>
        <v>p</v>
      </c>
      <c r="N5" s="95"/>
      <c r="O5" s="93" t="str">
        <f>'PFEF SRC'!W5</f>
        <v>r</v>
      </c>
      <c r="P5" s="94" t="str">
        <f>'PFEF SRC'!X5</f>
        <v>p</v>
      </c>
      <c r="Q5" s="95"/>
      <c r="R5" s="93" t="str">
        <f>'PFEF SRC'!AB5</f>
        <v>r</v>
      </c>
      <c r="S5" s="94" t="str">
        <f>'PFEF SRC'!AC5</f>
        <v>p</v>
      </c>
      <c r="U5" s="76"/>
      <c r="V5" s="57"/>
      <c r="W5" s="31"/>
    </row>
    <row r="6" spans="1:23" s="17" customFormat="1">
      <c r="A6" s="89"/>
      <c r="C6" s="39"/>
      <c r="D6" s="34"/>
      <c r="E6" s="19"/>
      <c r="F6" s="39"/>
      <c r="G6" s="34"/>
      <c r="H6" s="19"/>
      <c r="I6" s="39"/>
      <c r="J6" s="34"/>
      <c r="K6" s="19"/>
      <c r="L6" s="39"/>
      <c r="M6" s="34"/>
      <c r="N6" s="19"/>
      <c r="O6" s="39"/>
      <c r="P6" s="34"/>
      <c r="Q6" s="19"/>
      <c r="R6" s="39"/>
      <c r="S6" s="34"/>
      <c r="T6" s="19"/>
      <c r="U6" s="39"/>
      <c r="V6" s="55"/>
      <c r="W6" s="31"/>
    </row>
    <row r="7" spans="1:23" s="17" customFormat="1">
      <c r="A7" s="90" t="str">
        <f>'PFEF SRC'!A7</f>
        <v>Susan</v>
      </c>
      <c r="B7" s="18" t="str">
        <f>'PFEF SRC'!B7</f>
        <v>ALL</v>
      </c>
      <c r="C7" s="39">
        <f>'PFEF SRC'!C7</f>
        <v>0.109</v>
      </c>
      <c r="D7" s="34">
        <f>'PFEF SRC'!D7</f>
        <v>5.11E-2</v>
      </c>
      <c r="E7" s="19"/>
      <c r="F7" s="39">
        <f>'PFEF SRC'!H7</f>
        <v>7.4999999999999997E-2</v>
      </c>
      <c r="G7" s="34">
        <f>'PFEF SRC'!I7</f>
        <v>4.7E-2</v>
      </c>
      <c r="H7" s="19"/>
      <c r="I7" s="39">
        <f>'PFEF SRC'!M7</f>
        <v>1.4999999999999999E-2</v>
      </c>
      <c r="J7" s="34">
        <f>'PFEF SRC'!N7</f>
        <v>0.80630000000000002</v>
      </c>
      <c r="K7" s="19"/>
      <c r="L7" s="39">
        <f>'PFEF SRC'!R7</f>
        <v>0.27500000000000002</v>
      </c>
      <c r="M7" s="34">
        <f>'PFEF SRC'!S7</f>
        <v>0</v>
      </c>
      <c r="N7" s="19"/>
      <c r="O7" s="39">
        <f>'PFEF SRC'!W7</f>
        <v>0.53500000000000003</v>
      </c>
      <c r="P7" s="34">
        <f>'PFEF SRC'!X7</f>
        <v>0</v>
      </c>
      <c r="Q7" s="19"/>
      <c r="R7" s="39">
        <f>'PFEF SRC'!AB7</f>
        <v>0.72599999999999998</v>
      </c>
      <c r="S7" s="34">
        <f>'PFEF SRC'!AC7</f>
        <v>0</v>
      </c>
      <c r="T7" s="19"/>
      <c r="U7" s="40">
        <f>'PFEF SRC'!AJ7</f>
        <v>0.37723877925437943</v>
      </c>
      <c r="V7" s="58"/>
      <c r="W7" s="30" t="str">
        <f>'PFEF SRC'!AL7</f>
        <v>ALL</v>
      </c>
    </row>
    <row r="8" spans="1:23" s="17" customFormat="1">
      <c r="A8" s="90" t="str">
        <f>'PFEF SRC'!A8</f>
        <v>Susan</v>
      </c>
      <c r="B8" s="18" t="str">
        <f>'PFEF SRC'!B8</f>
        <v>interested</v>
      </c>
      <c r="C8" s="39">
        <f>'PFEF SRC'!C8</f>
        <v>0.436</v>
      </c>
      <c r="D8" s="34">
        <f>'PFEF SRC'!D8</f>
        <v>3.5000000000000001E-3</v>
      </c>
      <c r="E8" s="19"/>
      <c r="F8" s="39">
        <f>'PFEF SRC'!H8</f>
        <v>6.5000000000000002E-2</v>
      </c>
      <c r="G8" s="34">
        <f>'PFEF SRC'!I8</f>
        <v>0.54510000000000003</v>
      </c>
      <c r="H8" s="19"/>
      <c r="I8" s="39">
        <f>'PFEF SRC'!M8</f>
        <v>0.254</v>
      </c>
      <c r="J8" s="34">
        <f>'PFEF SRC'!N8</f>
        <v>0.1608</v>
      </c>
      <c r="K8" s="19"/>
      <c r="L8" s="39">
        <f>'PFEF SRC'!R8</f>
        <v>0.38400000000000001</v>
      </c>
      <c r="M8" s="34">
        <f>'PFEF SRC'!S8</f>
        <v>4.3499999999999997E-2</v>
      </c>
      <c r="N8" s="19"/>
      <c r="O8" s="39">
        <f>'PFEF SRC'!W8</f>
        <v>0.53900000000000003</v>
      </c>
      <c r="P8" s="34">
        <f>'PFEF SRC'!X8</f>
        <v>4.4999999999999997E-3</v>
      </c>
      <c r="Q8" s="19"/>
      <c r="R8" s="39">
        <f>'PFEF SRC'!AB8</f>
        <v>0.63200000000000001</v>
      </c>
      <c r="S8" s="34">
        <f>'PFEF SRC'!AC8</f>
        <v>0</v>
      </c>
      <c r="T8" s="19"/>
      <c r="U8" s="40">
        <f>'PFEF SRC'!AJ8</f>
        <v>0.50416661987288003</v>
      </c>
      <c r="V8" s="58">
        <f>'PFEF SRC'!AK8</f>
        <v>0.1269278406185006</v>
      </c>
      <c r="W8" s="30" t="str">
        <f>'PFEF SRC'!AL8</f>
        <v>in</v>
      </c>
    </row>
    <row r="9" spans="1:23" s="17" customFormat="1">
      <c r="A9" s="90" t="str">
        <f>'PFEF SRC'!A9</f>
        <v>Susan</v>
      </c>
      <c r="B9" s="18" t="str">
        <f>'PFEF SRC'!B9</f>
        <v>tennis</v>
      </c>
      <c r="C9" s="39">
        <f>'PFEF SRC'!C9</f>
        <v>0.38300000000000001</v>
      </c>
      <c r="D9" s="34">
        <f>'PFEF SRC'!D9</f>
        <v>1.1299999999999999E-2</v>
      </c>
      <c r="E9" s="19"/>
      <c r="F9" s="39">
        <f>'PFEF SRC'!H9</f>
        <v>0.155</v>
      </c>
      <c r="G9" s="34">
        <f>'PFEF SRC'!I9</f>
        <v>0.14910000000000001</v>
      </c>
      <c r="H9" s="19"/>
      <c r="I9" s="39">
        <f>'PFEF SRC'!M9</f>
        <v>-0.25700000000000001</v>
      </c>
      <c r="J9" s="34">
        <f>'PFEF SRC'!N9</f>
        <v>0.15609999999999999</v>
      </c>
      <c r="K9" s="19"/>
      <c r="L9" s="39">
        <f>'PFEF SRC'!R9</f>
        <v>0.122</v>
      </c>
      <c r="M9" s="34">
        <f>'PFEF SRC'!S9</f>
        <v>0.51910000000000001</v>
      </c>
      <c r="N9" s="19"/>
      <c r="O9" s="39">
        <f>'PFEF SRC'!W9</f>
        <v>0.32500000000000001</v>
      </c>
      <c r="P9" s="34">
        <f>'PFEF SRC'!X9</f>
        <v>0.1134</v>
      </c>
      <c r="Q9" s="19"/>
      <c r="R9" s="39">
        <f>'PFEF SRC'!AB9</f>
        <v>0.73199999999999998</v>
      </c>
      <c r="S9" s="34">
        <f>'PFEF SRC'!AC9</f>
        <v>0</v>
      </c>
      <c r="T9" s="19"/>
      <c r="U9" s="40">
        <f>'PFEF SRC'!AJ9</f>
        <v>0.58385827500163889</v>
      </c>
      <c r="V9" s="58">
        <f>'PFEF SRC'!AK9</f>
        <v>0.20661949574725946</v>
      </c>
      <c r="W9" s="32" t="str">
        <f>'PFEF SRC'!AL9</f>
        <v>tn</v>
      </c>
    </row>
    <row r="10" spans="1:23" s="17" customFormat="1">
      <c r="A10" s="90" t="str">
        <f>'PFEF SRC'!A10</f>
        <v>Susan</v>
      </c>
      <c r="B10" s="18" t="str">
        <f>'PFEF SRC'!B10</f>
        <v>tennis-arrangements</v>
      </c>
      <c r="C10" s="39">
        <f>'PFEF SRC'!C10</f>
        <v>0.20399999999999999</v>
      </c>
      <c r="D10" s="34">
        <f>'PFEF SRC'!D10</f>
        <v>0.37390000000000001</v>
      </c>
      <c r="E10" s="19"/>
      <c r="F10" s="39">
        <f>'PFEF SRC'!H10</f>
        <v>-0.19600000000000001</v>
      </c>
      <c r="G10" s="34">
        <f>'PFEF SRC'!I10</f>
        <v>5.7799999999999997E-2</v>
      </c>
      <c r="H10" s="19"/>
      <c r="I10" s="39">
        <f>'PFEF SRC'!M10</f>
        <v>0.26700000000000002</v>
      </c>
      <c r="J10" s="34">
        <f>'PFEF SRC'!N10</f>
        <v>0.1396</v>
      </c>
      <c r="K10" s="19"/>
      <c r="L10" s="39">
        <f>'PFEF SRC'!R10</f>
        <v>0.10100000000000001</v>
      </c>
      <c r="M10" s="34">
        <f>'PFEF SRC'!S10</f>
        <v>0.59550000000000003</v>
      </c>
      <c r="N10" s="19"/>
      <c r="O10" s="39">
        <f>'PFEF SRC'!W10</f>
        <v>0.51600000000000001</v>
      </c>
      <c r="P10" s="34">
        <f>'PFEF SRC'!X10</f>
        <v>7.0000000000000001E-3</v>
      </c>
      <c r="Q10" s="19"/>
      <c r="R10" s="39">
        <f>'PFEF SRC'!AB10</f>
        <v>0.49</v>
      </c>
      <c r="S10" s="34">
        <f>'PFEF SRC'!AC10</f>
        <v>0</v>
      </c>
      <c r="T10" s="19"/>
      <c r="U10" s="40">
        <f>'PFEF SRC'!AJ10</f>
        <v>0.29386188653629097</v>
      </c>
      <c r="V10" s="58">
        <f>'PFEF SRC'!AK10</f>
        <v>-8.3376892718088458E-2</v>
      </c>
      <c r="W10" s="32" t="str">
        <f>'PFEF SRC'!AL10</f>
        <v>t-a</v>
      </c>
    </row>
    <row r="11" spans="1:23" s="17" customFormat="1">
      <c r="A11" s="90" t="str">
        <f>'PFEF SRC'!A11</f>
        <v>Susan</v>
      </c>
      <c r="B11" s="18" t="str">
        <f>'PFEF SRC'!B11</f>
        <v>tennis-organising</v>
      </c>
      <c r="C11" s="39">
        <f>'PFEF SRC'!C11</f>
        <v>-0.21299999999999999</v>
      </c>
      <c r="D11" s="34">
        <f>'PFEF SRC'!D11</f>
        <v>0.16980000000000001</v>
      </c>
      <c r="E11" s="19"/>
      <c r="F11" s="39">
        <f>'PFEF SRC'!H11</f>
        <v>-0.13</v>
      </c>
      <c r="G11" s="34">
        <f>'PFEF SRC'!I11</f>
        <v>0.2263</v>
      </c>
      <c r="H11" s="19"/>
      <c r="I11" s="39">
        <f>'PFEF SRC'!M11</f>
        <v>-0.129</v>
      </c>
      <c r="J11" s="34">
        <f>'PFEF SRC'!N11</f>
        <v>0.48309999999999997</v>
      </c>
      <c r="K11" s="19"/>
      <c r="L11" s="39">
        <f>'PFEF SRC'!R11</f>
        <v>0.23499999999999999</v>
      </c>
      <c r="M11" s="34">
        <f>'PFEF SRC'!S11</f>
        <v>0.22789999999999999</v>
      </c>
      <c r="N11" s="19"/>
      <c r="O11" s="39">
        <f>'PFEF SRC'!W11</f>
        <v>0.48399999999999999</v>
      </c>
      <c r="P11" s="34">
        <f>'PFEF SRC'!X11</f>
        <v>1.2200000000000001E-2</v>
      </c>
      <c r="Q11" s="19"/>
      <c r="R11" s="39">
        <f>'PFEF SRC'!AB11</f>
        <v>0.66100000000000003</v>
      </c>
      <c r="S11" s="34">
        <f>'PFEF SRC'!AC11</f>
        <v>0</v>
      </c>
      <c r="T11" s="19"/>
      <c r="U11" s="40">
        <f>'PFEF SRC'!AJ11</f>
        <v>0.57928848262966048</v>
      </c>
      <c r="V11" s="58">
        <f>'PFEF SRC'!AK11</f>
        <v>0.20204970337528105</v>
      </c>
      <c r="W11" s="32" t="str">
        <f>'PFEF SRC'!AL11</f>
        <v>t-o</v>
      </c>
    </row>
    <row r="12" spans="1:23" s="17" customFormat="1">
      <c r="A12" s="90" t="str">
        <f>'PFEF SRC'!A12</f>
        <v>Susan</v>
      </c>
      <c r="B12" s="18" t="str">
        <f>'PFEF SRC'!B12</f>
        <v>urgency</v>
      </c>
      <c r="C12" s="39">
        <f>'PFEF SRC'!C12</f>
        <v>5.3999999999999999E-2</v>
      </c>
      <c r="D12" s="34">
        <f>'PFEF SRC'!D12</f>
        <v>0.73</v>
      </c>
      <c r="E12" s="19"/>
      <c r="F12" s="39">
        <f>'PFEF SRC'!H12</f>
        <v>0.24399999999999999</v>
      </c>
      <c r="G12" s="34">
        <f>'PFEF SRC'!I12</f>
        <v>2.1899999999999999E-2</v>
      </c>
      <c r="H12" s="19"/>
      <c r="I12" s="39">
        <f>'PFEF SRC'!M12</f>
        <v>-6.8000000000000005E-2</v>
      </c>
      <c r="J12" s="34">
        <f>'PFEF SRC'!N12</f>
        <v>0.71089999999999998</v>
      </c>
      <c r="K12" s="19"/>
      <c r="L12" s="39">
        <f>'PFEF SRC'!R12</f>
        <v>0</v>
      </c>
      <c r="M12" s="34">
        <f>'PFEF SRC'!S12</f>
        <v>0</v>
      </c>
      <c r="N12" s="19"/>
      <c r="O12" s="39">
        <f>'PFEF SRC'!W12</f>
        <v>0.41099999999999998</v>
      </c>
      <c r="P12" s="34">
        <f>'PFEF SRC'!X12</f>
        <v>3.6799999999999999E-2</v>
      </c>
      <c r="Q12" s="19"/>
      <c r="R12" s="39">
        <f>'PFEF SRC'!AB12</f>
        <v>0.85199999999999998</v>
      </c>
      <c r="S12" s="34">
        <f>'PFEF SRC'!AC12</f>
        <v>0</v>
      </c>
      <c r="T12" s="19"/>
      <c r="U12" s="40">
        <f>'PFEF SRC'!AJ12</f>
        <v>0.57149971405294531</v>
      </c>
      <c r="V12" s="58">
        <f>'PFEF SRC'!AK12</f>
        <v>0.19426093479856588</v>
      </c>
      <c r="W12" s="32" t="str">
        <f>'PFEF SRC'!AL12</f>
        <v>ur</v>
      </c>
    </row>
    <row r="13" spans="1:23" s="17" customFormat="1">
      <c r="A13" s="90" t="str">
        <f>'PFEF SRC'!A13</f>
        <v>Susan</v>
      </c>
      <c r="B13" s="18" t="str">
        <f>'PFEF SRC'!B13</f>
        <v>work-logistics</v>
      </c>
      <c r="C13" s="39">
        <f>'PFEF SRC'!C13</f>
        <v>0.14000000000000001</v>
      </c>
      <c r="D13" s="34">
        <f>'PFEF SRC'!D13</f>
        <v>0.371</v>
      </c>
      <c r="E13" s="19"/>
      <c r="F13" s="39">
        <f>'PFEF SRC'!H13</f>
        <v>0.29599999999999999</v>
      </c>
      <c r="G13" s="34">
        <f>'PFEF SRC'!I13</f>
        <v>5.1000000000000004E-3</v>
      </c>
      <c r="H13" s="19"/>
      <c r="I13" s="39">
        <f>'PFEF SRC'!M13</f>
        <v>1.6E-2</v>
      </c>
      <c r="J13" s="34">
        <f>'PFEF SRC'!N13</f>
        <v>0.93259999999999998</v>
      </c>
      <c r="K13" s="19"/>
      <c r="L13" s="39">
        <f>'PFEF SRC'!R13</f>
        <v>-6.9000000000000006E-2</v>
      </c>
      <c r="M13" s="34">
        <f>'PFEF SRC'!S13</f>
        <v>0.73350000000000004</v>
      </c>
      <c r="N13" s="19"/>
      <c r="O13" s="39">
        <f>'PFEF SRC'!W13</f>
        <v>0.4</v>
      </c>
      <c r="P13" s="34">
        <f>'PFEF SRC'!X13</f>
        <v>4.2900000000000001E-2</v>
      </c>
      <c r="Q13" s="19"/>
      <c r="R13" s="39">
        <f>'PFEF SRC'!AB13</f>
        <v>0.97</v>
      </c>
      <c r="S13" s="34">
        <f>'PFEF SRC'!AC13</f>
        <v>0</v>
      </c>
      <c r="T13" s="19"/>
      <c r="U13" s="40">
        <f>'PFEF SRC'!AJ13</f>
        <v>0.73538675494728178</v>
      </c>
      <c r="V13" s="58">
        <f>'PFEF SRC'!AK13</f>
        <v>0.35814797569290235</v>
      </c>
      <c r="W13" s="32" t="str">
        <f>'PFEF SRC'!AL13</f>
        <v>w-l</v>
      </c>
    </row>
    <row r="14" spans="1:23" s="17" customFormat="1">
      <c r="A14" s="90" t="str">
        <f>'PFEF SRC'!A14</f>
        <v>Susan</v>
      </c>
      <c r="B14" s="18" t="str">
        <f>'PFEF SRC'!B14</f>
        <v>work-pers</v>
      </c>
      <c r="C14" s="39">
        <f>'PFEF SRC'!C14</f>
        <v>0.158</v>
      </c>
      <c r="D14" s="34">
        <f>'PFEF SRC'!D14</f>
        <v>0.31209999999999999</v>
      </c>
      <c r="E14" s="19"/>
      <c r="F14" s="39">
        <f>'PFEF SRC'!H14</f>
        <v>-6.0000000000000001E-3</v>
      </c>
      <c r="G14" s="34">
        <f>'PFEF SRC'!I14</f>
        <v>0.95569999999999999</v>
      </c>
      <c r="H14" s="19"/>
      <c r="I14" s="39">
        <f>'PFEF SRC'!M14</f>
        <v>0.185</v>
      </c>
      <c r="J14" s="34">
        <f>'PFEF SRC'!N14</f>
        <v>0.31109999999999999</v>
      </c>
      <c r="K14" s="19"/>
      <c r="L14" s="39">
        <f>'PFEF SRC'!R14</f>
        <v>0.1</v>
      </c>
      <c r="M14" s="34">
        <f>'PFEF SRC'!S14</f>
        <v>0.60509999999999997</v>
      </c>
      <c r="N14" s="19"/>
      <c r="O14" s="39">
        <f>'PFEF SRC'!W14</f>
        <v>0.60399999999999998</v>
      </c>
      <c r="P14" s="34">
        <f>'PFEF SRC'!X14</f>
        <v>1.1000000000000001E-3</v>
      </c>
      <c r="Q14" s="19"/>
      <c r="R14" s="39">
        <f>'PFEF SRC'!AB14</f>
        <v>0.74099999999999999</v>
      </c>
      <c r="S14" s="34">
        <f>'PFEF SRC'!AC14</f>
        <v>0</v>
      </c>
      <c r="T14" s="19"/>
      <c r="U14" s="40">
        <f>'PFEF SRC'!AJ14</f>
        <v>0.67835317926251881</v>
      </c>
      <c r="V14" s="58">
        <f>'PFEF SRC'!AK14</f>
        <v>0.30111440000813938</v>
      </c>
      <c r="W14" s="32" t="str">
        <f>'PFEF SRC'!AL14</f>
        <v>w-p</v>
      </c>
    </row>
    <row r="15" spans="1:23" s="17" customFormat="1">
      <c r="A15" s="90" t="str">
        <f>'PFEF SRC'!A15</f>
        <v>Susan</v>
      </c>
      <c r="B15" s="18" t="str">
        <f>'PFEF SRC'!B15</f>
        <v>work-relevant</v>
      </c>
      <c r="C15" s="39">
        <f>'PFEF SRC'!C15</f>
        <v>-0.17299999999999999</v>
      </c>
      <c r="D15" s="34">
        <f>'PFEF SRC'!D15</f>
        <v>0.26619999999999999</v>
      </c>
      <c r="E15" s="19"/>
      <c r="F15" s="39">
        <f>'PFEF SRC'!H15</f>
        <v>0.24</v>
      </c>
      <c r="G15" s="34">
        <f>'PFEF SRC'!I15</f>
        <v>2.4500000000000001E-2</v>
      </c>
      <c r="H15" s="19"/>
      <c r="I15" s="39">
        <f>'PFEF SRC'!M15</f>
        <v>-0.33</v>
      </c>
      <c r="J15" s="34">
        <f>'PFEF SRC'!N15</f>
        <v>6.5100000000000005E-2</v>
      </c>
      <c r="K15" s="19"/>
      <c r="L15" s="39">
        <f>'PFEF SRC'!R15</f>
        <v>0.55500000000000005</v>
      </c>
      <c r="M15" s="34">
        <f>'PFEF SRC'!S15</f>
        <v>2.2000000000000001E-3</v>
      </c>
      <c r="N15" s="19"/>
      <c r="O15" s="39">
        <f>'PFEF SRC'!W15</f>
        <v>0.78200000000000003</v>
      </c>
      <c r="P15" s="34">
        <f>'PFEF SRC'!X15</f>
        <v>0</v>
      </c>
      <c r="Q15" s="19"/>
      <c r="R15" s="39">
        <f>'PFEF SRC'!AB15</f>
        <v>0.69799999999999995</v>
      </c>
      <c r="S15" s="34">
        <f>'PFEF SRC'!AC15</f>
        <v>0</v>
      </c>
      <c r="T15" s="19"/>
      <c r="U15" s="40">
        <f>'PFEF SRC'!AJ15</f>
        <v>0.45285214433040366</v>
      </c>
      <c r="V15" s="58">
        <f>'PFEF SRC'!AK15</f>
        <v>7.561336507602423E-2</v>
      </c>
      <c r="W15" s="32" t="str">
        <f>'PFEF SRC'!AL15</f>
        <v>w-r</v>
      </c>
    </row>
    <row r="16" spans="1:23" s="17" customFormat="1">
      <c r="A16" s="90"/>
      <c r="B16" s="18"/>
      <c r="C16" s="39"/>
      <c r="D16" s="34"/>
      <c r="E16" s="19"/>
      <c r="F16" s="39"/>
      <c r="G16" s="34"/>
      <c r="H16" s="19"/>
      <c r="I16" s="39"/>
      <c r="J16" s="34"/>
      <c r="K16" s="19"/>
      <c r="L16" s="39"/>
      <c r="M16" s="34"/>
      <c r="N16" s="19"/>
      <c r="O16" s="39"/>
      <c r="P16" s="34"/>
      <c r="Q16" s="19"/>
      <c r="R16" s="39"/>
      <c r="S16" s="34"/>
      <c r="T16" s="19"/>
      <c r="U16" s="40"/>
      <c r="V16" s="58"/>
      <c r="W16" s="32"/>
    </row>
    <row r="17" spans="1:23" s="17" customFormat="1">
      <c r="A17" s="90" t="str">
        <f>'PFEF SRC'!A17</f>
        <v>Adam</v>
      </c>
      <c r="B17" s="18" t="str">
        <f>'PFEF SRC'!B17</f>
        <v>ALL</v>
      </c>
      <c r="C17" s="39">
        <f>'PFEF SRC'!C17</f>
        <v>0.36199999999999999</v>
      </c>
      <c r="D17" s="34">
        <f>'PFEF SRC'!D17</f>
        <v>0</v>
      </c>
      <c r="E17" s="19"/>
      <c r="F17" s="39">
        <f>'PFEF SRC'!H17</f>
        <v>0.20399999999999999</v>
      </c>
      <c r="G17" s="34">
        <f>'PFEF SRC'!I17</f>
        <v>5.9999999999999995E-4</v>
      </c>
      <c r="H17" s="19"/>
      <c r="I17" s="39">
        <f>'PFEF SRC'!M17</f>
        <v>0.08</v>
      </c>
      <c r="J17" s="34">
        <f>'PFEF SRC'!N17</f>
        <v>0.13700000000000001</v>
      </c>
      <c r="K17" s="19"/>
      <c r="L17" s="39">
        <f>'PFEF SRC'!R17</f>
        <v>0.34699999999999998</v>
      </c>
      <c r="M17" s="34">
        <f>'PFEF SRC'!S17</f>
        <v>0</v>
      </c>
      <c r="N17" s="19"/>
      <c r="O17" s="39">
        <f>'PFEF SRC'!W17</f>
        <v>0.64900000000000002</v>
      </c>
      <c r="P17" s="34">
        <f>'PFEF SRC'!X17</f>
        <v>0</v>
      </c>
      <c r="Q17" s="19"/>
      <c r="R17" s="39">
        <f>'PFEF SRC'!AB17</f>
        <v>0.66200000000000003</v>
      </c>
      <c r="S17" s="34">
        <f>'PFEF SRC'!AC17</f>
        <v>0</v>
      </c>
      <c r="T17" s="19"/>
      <c r="U17" s="40">
        <f>'PFEF SRC'!AJ17</f>
        <v>0.46495179620614374</v>
      </c>
      <c r="V17" s="58"/>
      <c r="W17" s="30" t="str">
        <f>'PFEF SRC'!AL17</f>
        <v>ALL</v>
      </c>
    </row>
    <row r="18" spans="1:23" s="17" customFormat="1">
      <c r="A18" s="90" t="str">
        <f>'PFEF SRC'!A18</f>
        <v>Adam</v>
      </c>
      <c r="B18" s="18" t="str">
        <f>'PFEF SRC'!B18</f>
        <v>cycling</v>
      </c>
      <c r="C18" s="39">
        <f>'PFEF SRC'!C18</f>
        <v>0.161</v>
      </c>
      <c r="D18" s="34">
        <f>'PFEF SRC'!D18</f>
        <v>0.39539999999999997</v>
      </c>
      <c r="E18" s="19"/>
      <c r="F18" s="39">
        <f>'PFEF SRC'!H18</f>
        <v>0.60699999999999998</v>
      </c>
      <c r="G18" s="34">
        <f>'PFEF SRC'!I18</f>
        <v>5.0000000000000001E-4</v>
      </c>
      <c r="H18" s="19"/>
      <c r="I18" s="39">
        <f>'PFEF SRC'!M18</f>
        <v>0.11799999999999999</v>
      </c>
      <c r="J18" s="34">
        <f>'PFEF SRC'!N18</f>
        <v>0.48699999999999999</v>
      </c>
      <c r="K18" s="19"/>
      <c r="L18" s="39">
        <f>'PFEF SRC'!R18</f>
        <v>0.17699999999999999</v>
      </c>
      <c r="M18" s="34">
        <f>'PFEF SRC'!S18</f>
        <v>0.30209999999999998</v>
      </c>
      <c r="N18" s="19"/>
      <c r="O18" s="39">
        <f>'PFEF SRC'!W18</f>
        <v>0.63700000000000001</v>
      </c>
      <c r="P18" s="34">
        <f>'PFEF SRC'!X18</f>
        <v>0</v>
      </c>
      <c r="Q18" s="19"/>
      <c r="R18" s="39">
        <f>'PFEF SRC'!AB18</f>
        <v>0.436</v>
      </c>
      <c r="S18" s="34">
        <f>'PFEF SRC'!AC18</f>
        <v>4.2599999999999999E-2</v>
      </c>
      <c r="T18" s="19"/>
      <c r="U18" s="40">
        <f>'PFEF SRC'!AJ18</f>
        <v>0.56593078194151891</v>
      </c>
      <c r="V18" s="58">
        <f>'PFEF SRC'!AK18</f>
        <v>0.10097898573537517</v>
      </c>
      <c r="W18" s="32" t="str">
        <f>'PFEF SRC'!AL18</f>
        <v>cy</v>
      </c>
    </row>
    <row r="19" spans="1:23" s="17" customFormat="1">
      <c r="A19" s="90" t="str">
        <f>'PFEF SRC'!A19</f>
        <v>Adam</v>
      </c>
      <c r="B19" s="18" t="str">
        <f>'PFEF SRC'!B19</f>
        <v>cycling-logistics</v>
      </c>
      <c r="C19" s="39">
        <f>'PFEF SRC'!C19</f>
        <v>0.39500000000000002</v>
      </c>
      <c r="D19" s="34">
        <f>'PFEF SRC'!D19</f>
        <v>0.14530000000000001</v>
      </c>
      <c r="E19" s="19"/>
      <c r="F19" s="39">
        <f>'PFEF SRC'!H19</f>
        <v>0.55600000000000005</v>
      </c>
      <c r="G19" s="34">
        <f>'PFEF SRC'!I19</f>
        <v>2.0400000000000001E-2</v>
      </c>
      <c r="H19" s="19"/>
      <c r="I19" s="39">
        <f>'PFEF SRC'!M19</f>
        <v>0.13100000000000001</v>
      </c>
      <c r="J19" s="34">
        <f>'PFEF SRC'!N19</f>
        <v>0.5827</v>
      </c>
      <c r="K19" s="19"/>
      <c r="L19" s="39">
        <f>'PFEF SRC'!R19</f>
        <v>-0.129</v>
      </c>
      <c r="M19" s="34">
        <f>'PFEF SRC'!S19</f>
        <v>0.56810000000000005</v>
      </c>
      <c r="N19" s="19"/>
      <c r="O19" s="39">
        <f>'PFEF SRC'!W19</f>
        <v>0.48799999999999999</v>
      </c>
      <c r="P19" s="34">
        <f>'PFEF SRC'!X19</f>
        <v>1.14E-2</v>
      </c>
      <c r="Q19" s="19"/>
      <c r="R19" s="39">
        <f>'PFEF SRC'!AB19</f>
        <v>0.59799999999999998</v>
      </c>
      <c r="S19" s="34">
        <f>'PFEF SRC'!AC19</f>
        <v>8.8000000000000005E-3</v>
      </c>
      <c r="T19" s="19"/>
      <c r="U19" s="40">
        <f>'PFEF SRC'!AJ19</f>
        <v>0.5489157279674618</v>
      </c>
      <c r="V19" s="58">
        <f>'PFEF SRC'!AK19</f>
        <v>8.3963931761318056E-2</v>
      </c>
      <c r="W19" s="32" t="str">
        <f>'PFEF SRC'!AL19</f>
        <v>c-l</v>
      </c>
    </row>
    <row r="20" spans="1:23" s="17" customFormat="1">
      <c r="A20" s="90" t="str">
        <f>'PFEF SRC'!A20</f>
        <v>Adam</v>
      </c>
      <c r="B20" s="18" t="str">
        <f>'PFEF SRC'!B20</f>
        <v>interested</v>
      </c>
      <c r="C20" s="39">
        <f>'PFEF SRC'!C20</f>
        <v>0.56999999999999995</v>
      </c>
      <c r="D20" s="34">
        <f>'PFEF SRC'!D20</f>
        <v>1E-3</v>
      </c>
      <c r="E20" s="19"/>
      <c r="F20" s="39">
        <f>'PFEF SRC'!H20</f>
        <v>0.54200000000000004</v>
      </c>
      <c r="G20" s="34">
        <f>'PFEF SRC'!I20</f>
        <v>2.3999999999999998E-3</v>
      </c>
      <c r="H20" s="19"/>
      <c r="I20" s="39">
        <f>'PFEF SRC'!M20</f>
        <v>0.35499999999999998</v>
      </c>
      <c r="J20" s="34">
        <f>'PFEF SRC'!N20</f>
        <v>3.1300000000000001E-2</v>
      </c>
      <c r="K20" s="19"/>
      <c r="L20" s="39">
        <f>'PFEF SRC'!R20</f>
        <v>0.307</v>
      </c>
      <c r="M20" s="34">
        <f>'PFEF SRC'!S20</f>
        <v>6.83E-2</v>
      </c>
      <c r="N20" s="19"/>
      <c r="O20" s="39">
        <f>'PFEF SRC'!W20</f>
        <v>0.61399999999999999</v>
      </c>
      <c r="P20" s="34">
        <f>'PFEF SRC'!X20</f>
        <v>0</v>
      </c>
      <c r="Q20" s="19"/>
      <c r="R20" s="39">
        <f>'PFEF SRC'!AB20</f>
        <v>0.83799999999999997</v>
      </c>
      <c r="S20" s="34">
        <f>'PFEF SRC'!AC20</f>
        <v>0</v>
      </c>
      <c r="T20" s="19"/>
      <c r="U20" s="40">
        <f>'PFEF SRC'!AJ20</f>
        <v>0.56859043354025474</v>
      </c>
      <c r="V20" s="58">
        <f>'PFEF SRC'!AK20</f>
        <v>0.10363863733411099</v>
      </c>
      <c r="W20" s="32" t="str">
        <f>'PFEF SRC'!AL20</f>
        <v>in</v>
      </c>
    </row>
    <row r="21" spans="1:23" s="17" customFormat="1">
      <c r="A21" s="90" t="str">
        <f>'PFEF SRC'!A21</f>
        <v>Adam</v>
      </c>
      <c r="B21" s="18" t="str">
        <f>'PFEF SRC'!B21</f>
        <v>pers-urgency</v>
      </c>
      <c r="C21" s="39">
        <f>'PFEF SRC'!C21</f>
        <v>0.35099999999999998</v>
      </c>
      <c r="D21" s="34">
        <f>'PFEF SRC'!D21</f>
        <v>5.7500000000000002E-2</v>
      </c>
      <c r="E21" s="19"/>
      <c r="F21" s="39">
        <f>'PFEF SRC'!H21</f>
        <v>0.13200000000000001</v>
      </c>
      <c r="G21" s="34">
        <f>'PFEF SRC'!I21</f>
        <v>0.4965</v>
      </c>
      <c r="H21" s="19"/>
      <c r="I21" s="39">
        <f>'PFEF SRC'!M21</f>
        <v>7.2999999999999995E-2</v>
      </c>
      <c r="J21" s="34">
        <f>'PFEF SRC'!N21</f>
        <v>0.66620000000000001</v>
      </c>
      <c r="K21" s="19"/>
      <c r="L21" s="39">
        <f>'PFEF SRC'!R21</f>
        <v>0.30499999999999999</v>
      </c>
      <c r="M21" s="34">
        <f>'PFEF SRC'!S21</f>
        <v>7.0000000000000007E-2</v>
      </c>
      <c r="N21" s="19"/>
      <c r="O21" s="39">
        <f>'PFEF SRC'!W21</f>
        <v>0.57299999999999995</v>
      </c>
      <c r="P21" s="34">
        <f>'PFEF SRC'!X21</f>
        <v>1E-4</v>
      </c>
      <c r="Q21" s="19"/>
      <c r="R21" s="39">
        <f>'PFEF SRC'!AB21</f>
        <v>0.61199999999999999</v>
      </c>
      <c r="S21" s="34">
        <f>'PFEF SRC'!AC21</f>
        <v>2.5000000000000001E-3</v>
      </c>
      <c r="T21" s="19"/>
      <c r="U21" s="40">
        <f>'PFEF SRC'!AJ21</f>
        <v>0.47105431504973305</v>
      </c>
      <c r="V21" s="58">
        <f>'PFEF SRC'!AK21</f>
        <v>6.1025188435893107E-3</v>
      </c>
      <c r="W21" s="32" t="str">
        <f>'PFEF SRC'!AL21</f>
        <v>p-u</v>
      </c>
    </row>
    <row r="22" spans="1:23" s="17" customFormat="1">
      <c r="A22" s="90" t="str">
        <f>'PFEF SRC'!A22</f>
        <v>Adam</v>
      </c>
      <c r="B22" s="18" t="str">
        <f>'PFEF SRC'!B22</f>
        <v>tech</v>
      </c>
      <c r="C22" s="39">
        <f>'PFEF SRC'!C22</f>
        <v>-0.111</v>
      </c>
      <c r="D22" s="34">
        <f>'PFEF SRC'!D22</f>
        <v>0.55979999999999996</v>
      </c>
      <c r="E22" s="19"/>
      <c r="F22" s="39">
        <f>'PFEF SRC'!H22</f>
        <v>0.191</v>
      </c>
      <c r="G22" s="34">
        <f>'PFEF SRC'!I22</f>
        <v>0.32050000000000001</v>
      </c>
      <c r="H22" s="19"/>
      <c r="I22" s="39">
        <f>'PFEF SRC'!M22</f>
        <v>-5.3999999999999999E-2</v>
      </c>
      <c r="J22" s="34">
        <f>'PFEF SRC'!N22</f>
        <v>0.75019999999999998</v>
      </c>
      <c r="K22" s="19"/>
      <c r="L22" s="39">
        <f>'PFEF SRC'!R22</f>
        <v>0.71199999999999997</v>
      </c>
      <c r="M22" s="34">
        <f>'PFEF SRC'!S22</f>
        <v>0</v>
      </c>
      <c r="N22" s="19"/>
      <c r="O22" s="39">
        <f>'PFEF SRC'!W22</f>
        <v>0.96</v>
      </c>
      <c r="P22" s="34">
        <f>'PFEF SRC'!X22</f>
        <v>0</v>
      </c>
      <c r="Q22" s="19"/>
      <c r="R22" s="39">
        <f>'PFEF SRC'!AB22</f>
        <v>0.69</v>
      </c>
      <c r="S22" s="34">
        <f>'PFEF SRC'!AC22</f>
        <v>4.0000000000000002E-4</v>
      </c>
      <c r="T22" s="19"/>
      <c r="U22" s="40">
        <f>'PFEF SRC'!AJ22</f>
        <v>0.84210436957215262</v>
      </c>
      <c r="V22" s="58">
        <f>'PFEF SRC'!AK22</f>
        <v>0.37715257336600888</v>
      </c>
      <c r="W22" s="32" t="str">
        <f>'PFEF SRC'!AL22</f>
        <v>tc</v>
      </c>
    </row>
    <row r="23" spans="1:23" s="17" customFormat="1">
      <c r="A23" s="90" t="str">
        <f>'PFEF SRC'!A23</f>
        <v>Adam</v>
      </c>
      <c r="B23" s="18" t="str">
        <f>'PFEF SRC'!B23</f>
        <v>urgency</v>
      </c>
      <c r="C23" s="39">
        <f>'PFEF SRC'!C23</f>
        <v>0.42399999999999999</v>
      </c>
      <c r="D23" s="34">
        <f>'PFEF SRC'!D23</f>
        <v>1.9599999999999999E-2</v>
      </c>
      <c r="E23" s="19"/>
      <c r="F23" s="39">
        <f>'PFEF SRC'!H23</f>
        <v>-3.0000000000000001E-3</v>
      </c>
      <c r="G23" s="34">
        <f>'PFEF SRC'!I23</f>
        <v>0.98770000000000002</v>
      </c>
      <c r="H23" s="19"/>
      <c r="I23" s="39">
        <f>'PFEF SRC'!M23</f>
        <v>-6.8000000000000005E-2</v>
      </c>
      <c r="J23" s="34">
        <f>'PFEF SRC'!N23</f>
        <v>0.68840000000000001</v>
      </c>
      <c r="K23" s="19"/>
      <c r="L23" s="39">
        <f>'PFEF SRC'!R23</f>
        <v>0.52800000000000002</v>
      </c>
      <c r="M23" s="34">
        <f>'PFEF SRC'!S23</f>
        <v>8.9999999999999998E-4</v>
      </c>
      <c r="N23" s="19"/>
      <c r="O23" s="39">
        <f>'PFEF SRC'!W23</f>
        <v>0.35199999999999998</v>
      </c>
      <c r="P23" s="34">
        <f>'PFEF SRC'!X23</f>
        <v>2.5899999999999999E-2</v>
      </c>
      <c r="Q23" s="19"/>
      <c r="R23" s="39">
        <f>'PFEF SRC'!AB23</f>
        <v>0.48599999999999999</v>
      </c>
      <c r="S23" s="34">
        <f>'PFEF SRC'!AC23</f>
        <v>2.1700000000000001E-2</v>
      </c>
      <c r="T23" s="19"/>
      <c r="U23" s="40">
        <f>'PFEF SRC'!AJ23</f>
        <v>0.44993228036549332</v>
      </c>
      <c r="V23" s="58">
        <f>'PFEF SRC'!AK23</f>
        <v>-1.5019515840650421E-2</v>
      </c>
      <c r="W23" s="32" t="str">
        <f>'PFEF SRC'!AL23</f>
        <v>ur</v>
      </c>
    </row>
    <row r="24" spans="1:23" s="17" customFormat="1">
      <c r="A24" s="90" t="str">
        <f>'PFEF SRC'!A24</f>
        <v>Adam</v>
      </c>
      <c r="B24" s="18" t="str">
        <f>'PFEF SRC'!B24</f>
        <v>work-logistics</v>
      </c>
      <c r="C24" s="39">
        <f>'PFEF SRC'!C24</f>
        <v>0.80700000000000005</v>
      </c>
      <c r="D24" s="34">
        <f>'PFEF SRC'!D24</f>
        <v>0</v>
      </c>
      <c r="E24" s="19"/>
      <c r="F24" s="39">
        <f>'PFEF SRC'!H24</f>
        <v>0.248</v>
      </c>
      <c r="G24" s="34">
        <f>'PFEF SRC'!I24</f>
        <v>0.20399999999999999</v>
      </c>
      <c r="H24" s="19"/>
      <c r="I24" s="39">
        <f>'PFEF SRC'!M24</f>
        <v>-9.5000000000000001E-2</v>
      </c>
      <c r="J24" s="34">
        <f>'PFEF SRC'!N24</f>
        <v>0.58330000000000004</v>
      </c>
      <c r="K24" s="19"/>
      <c r="L24" s="39">
        <f>'PFEF SRC'!R24</f>
        <v>0.56100000000000005</v>
      </c>
      <c r="M24" s="34">
        <f>'PFEF SRC'!S24</f>
        <v>4.0000000000000002E-4</v>
      </c>
      <c r="N24" s="19"/>
      <c r="O24" s="39">
        <f>'PFEF SRC'!W24</f>
        <v>0.70499999999999996</v>
      </c>
      <c r="P24" s="34">
        <f>'PFEF SRC'!X24</f>
        <v>0</v>
      </c>
      <c r="Q24" s="19"/>
      <c r="R24" s="39">
        <f>'PFEF SRC'!AB24</f>
        <v>0.51400000000000001</v>
      </c>
      <c r="S24" s="34">
        <f>'PFEF SRC'!AC24</f>
        <v>1.43E-2</v>
      </c>
      <c r="T24" s="19"/>
      <c r="U24" s="40">
        <f>'PFEF SRC'!AJ24</f>
        <v>0.66375452423408499</v>
      </c>
      <c r="V24" s="58">
        <f>'PFEF SRC'!AK24</f>
        <v>0.19880272802794124</v>
      </c>
      <c r="W24" s="32" t="str">
        <f>'PFEF SRC'!AL24</f>
        <v>w-l</v>
      </c>
    </row>
    <row r="25" spans="1:23" s="17" customFormat="1">
      <c r="A25" s="90" t="str">
        <f>'PFEF SRC'!A25</f>
        <v>Adam</v>
      </c>
      <c r="B25" s="18" t="str">
        <f>'PFEF SRC'!B25</f>
        <v>work-pers</v>
      </c>
      <c r="C25" s="39">
        <f>'PFEF SRC'!C25</f>
        <v>-6.8000000000000005E-2</v>
      </c>
      <c r="D25" s="34">
        <f>'PFEF SRC'!D25</f>
        <v>0.72160000000000002</v>
      </c>
      <c r="E25" s="19"/>
      <c r="F25" s="39">
        <f>'PFEF SRC'!H25</f>
        <v>0.378</v>
      </c>
      <c r="G25" s="34">
        <f>'PFEF SRC'!I25</f>
        <v>4.7600000000000003E-2</v>
      </c>
      <c r="H25" s="19"/>
      <c r="I25" s="39">
        <f>'PFEF SRC'!M25</f>
        <v>-0.11799999999999999</v>
      </c>
      <c r="J25" s="34">
        <f>'PFEF SRC'!N25</f>
        <v>0.49359999999999998</v>
      </c>
      <c r="K25" s="19"/>
      <c r="L25" s="39">
        <f>'PFEF SRC'!R25</f>
        <v>0.433</v>
      </c>
      <c r="M25" s="34">
        <f>'PFEF SRC'!S25</f>
        <v>1.49E-2</v>
      </c>
      <c r="N25" s="19"/>
      <c r="O25" s="39">
        <f>'PFEF SRC'!W25</f>
        <v>0.67800000000000005</v>
      </c>
      <c r="P25" s="34">
        <f>'PFEF SRC'!X25</f>
        <v>0</v>
      </c>
      <c r="Q25" s="19"/>
      <c r="R25" s="39">
        <f>'PFEF SRC'!AB25</f>
        <v>0.64400000000000002</v>
      </c>
      <c r="S25" s="34">
        <f>'PFEF SRC'!AC25</f>
        <v>1.6000000000000001E-3</v>
      </c>
      <c r="T25" s="19"/>
      <c r="U25" s="40">
        <f>'PFEF SRC'!AJ25</f>
        <v>0.54618084521107901</v>
      </c>
      <c r="V25" s="58">
        <f>'PFEF SRC'!AK25</f>
        <v>8.1229049004935272E-2</v>
      </c>
      <c r="W25" s="32" t="str">
        <f>'PFEF SRC'!AL25</f>
        <v>w-p</v>
      </c>
    </row>
    <row r="26" spans="1:23" s="17" customFormat="1">
      <c r="A26" s="90" t="str">
        <f>'PFEF SRC'!A26</f>
        <v>Adam</v>
      </c>
      <c r="B26" s="18" t="str">
        <f>'PFEF SRC'!B26</f>
        <v>work-relevant</v>
      </c>
      <c r="C26" s="39">
        <f>'PFEF SRC'!C26</f>
        <v>0.40200000000000002</v>
      </c>
      <c r="D26" s="34">
        <f>'PFEF SRC'!D26</f>
        <v>2.7699999999999999E-2</v>
      </c>
      <c r="E26" s="19"/>
      <c r="F26" s="39">
        <f>'PFEF SRC'!H26</f>
        <v>-9.1999999999999998E-2</v>
      </c>
      <c r="G26" s="34">
        <f>'PFEF SRC'!I26</f>
        <v>0.63570000000000004</v>
      </c>
      <c r="H26" s="19"/>
      <c r="I26" s="39">
        <f>'PFEF SRC'!M26</f>
        <v>6.7000000000000004E-2</v>
      </c>
      <c r="J26" s="34">
        <f>'PFEF SRC'!N26</f>
        <v>0.69510000000000005</v>
      </c>
      <c r="K26" s="19"/>
      <c r="L26" s="39">
        <f>'PFEF SRC'!R26</f>
        <v>0.51900000000000002</v>
      </c>
      <c r="M26" s="34">
        <f>'PFEF SRC'!S26</f>
        <v>1.1999999999999999E-3</v>
      </c>
      <c r="N26" s="19"/>
      <c r="O26" s="39">
        <f>'PFEF SRC'!W26</f>
        <v>0.70599999999999996</v>
      </c>
      <c r="P26" s="34">
        <f>'PFEF SRC'!X26</f>
        <v>0</v>
      </c>
      <c r="Q26" s="19"/>
      <c r="R26" s="39">
        <f>'PFEF SRC'!AB26</f>
        <v>0.91900000000000004</v>
      </c>
      <c r="S26" s="34">
        <f>'PFEF SRC'!AC26</f>
        <v>0</v>
      </c>
      <c r="T26" s="19"/>
      <c r="U26" s="40">
        <f>'PFEF SRC'!AJ26</f>
        <v>0.69917271110420942</v>
      </c>
      <c r="V26" s="58">
        <f>'PFEF SRC'!AK26</f>
        <v>0.23422091489806568</v>
      </c>
      <c r="W26" s="32" t="str">
        <f>'PFEF SRC'!AL26</f>
        <v>w-r</v>
      </c>
    </row>
    <row r="27" spans="1:23" s="17" customFormat="1">
      <c r="A27" s="90" t="str">
        <f>'PFEF SRC'!A27</f>
        <v>Adam</v>
      </c>
      <c r="B27" s="18" t="str">
        <f>'PFEF SRC'!B27</f>
        <v>work-urgency</v>
      </c>
      <c r="C27" s="39">
        <f>'PFEF SRC'!C27</f>
        <v>0.13100000000000001</v>
      </c>
      <c r="D27" s="34">
        <f>'PFEF SRC'!D27</f>
        <v>0.49070000000000003</v>
      </c>
      <c r="E27" s="19"/>
      <c r="F27" s="39">
        <f>'PFEF SRC'!H27</f>
        <v>-0.18</v>
      </c>
      <c r="G27" s="34">
        <f>'PFEF SRC'!I27</f>
        <v>0.34100000000000003</v>
      </c>
      <c r="H27" s="19"/>
      <c r="I27" s="39">
        <f>'PFEF SRC'!M27</f>
        <v>-6.6000000000000003E-2</v>
      </c>
      <c r="J27" s="34">
        <f>'PFEF SRC'!N27</f>
        <v>0.69630000000000003</v>
      </c>
      <c r="K27" s="19"/>
      <c r="L27" s="39">
        <f>'PFEF SRC'!R27</f>
        <v>0.25</v>
      </c>
      <c r="M27" s="34">
        <f>'PFEF SRC'!S27</f>
        <v>0.13589999999999999</v>
      </c>
      <c r="N27" s="19"/>
      <c r="O27" s="39">
        <f>'PFEF SRC'!W27</f>
        <v>0.84899999999999998</v>
      </c>
      <c r="P27" s="34">
        <f>'PFEF SRC'!X27</f>
        <v>0</v>
      </c>
      <c r="Q27" s="19"/>
      <c r="R27" s="39">
        <f>'PFEF SRC'!AB27</f>
        <v>0.93899999999999995</v>
      </c>
      <c r="S27" s="34">
        <f>'PFEF SRC'!AC27</f>
        <v>0</v>
      </c>
      <c r="T27" s="19"/>
      <c r="U27" s="40">
        <f>'PFEF SRC'!AJ27</f>
        <v>0.90351657879496705</v>
      </c>
      <c r="V27" s="58">
        <f>'PFEF SRC'!AK27</f>
        <v>0.43856478258882331</v>
      </c>
      <c r="W27" s="32" t="str">
        <f>'PFEF SRC'!AL27</f>
        <v>w-u</v>
      </c>
    </row>
    <row r="28" spans="1:23" s="17" customFormat="1">
      <c r="A28" s="90"/>
      <c r="B28" s="18"/>
      <c r="C28" s="39"/>
      <c r="D28" s="34"/>
      <c r="E28" s="19"/>
      <c r="F28" s="39"/>
      <c r="G28" s="34"/>
      <c r="H28" s="19"/>
      <c r="I28" s="39"/>
      <c r="J28" s="34"/>
      <c r="K28" s="19"/>
      <c r="L28" s="39"/>
      <c r="M28" s="34"/>
      <c r="N28" s="19"/>
      <c r="O28" s="39"/>
      <c r="P28" s="34"/>
      <c r="Q28" s="19"/>
      <c r="R28" s="39"/>
      <c r="S28" s="34"/>
      <c r="T28" s="19"/>
      <c r="U28" s="40"/>
      <c r="V28" s="58"/>
      <c r="W28" s="32"/>
    </row>
    <row r="29" spans="1:23" s="17" customFormat="1">
      <c r="A29" s="90">
        <f>'PFEF SRC'!A29</f>
        <v>0</v>
      </c>
      <c r="B29" s="18" t="str">
        <f>'PFEF SRC'!B29</f>
        <v>ALL</v>
      </c>
      <c r="C29" s="39">
        <f>'PFEF SRC'!C29</f>
        <v>0</v>
      </c>
      <c r="D29" s="34">
        <f>'PFEF SRC'!D29</f>
        <v>0</v>
      </c>
      <c r="E29" s="19"/>
      <c r="F29" s="39">
        <f>'PFEF SRC'!H29</f>
        <v>0</v>
      </c>
      <c r="G29" s="34">
        <f>'PFEF SRC'!I29</f>
        <v>0</v>
      </c>
      <c r="H29" s="19"/>
      <c r="I29" s="39">
        <f>'PFEF SRC'!M29</f>
        <v>0</v>
      </c>
      <c r="J29" s="34">
        <f>'PFEF SRC'!N29</f>
        <v>0</v>
      </c>
      <c r="K29" s="19"/>
      <c r="L29" s="39">
        <f>'PFEF SRC'!R29</f>
        <v>0</v>
      </c>
      <c r="M29" s="34">
        <f>'PFEF SRC'!S29</f>
        <v>0</v>
      </c>
      <c r="N29" s="19"/>
      <c r="O29" s="39">
        <f>'PFEF SRC'!W29</f>
        <v>0</v>
      </c>
      <c r="P29" s="34">
        <f>'PFEF SRC'!X29</f>
        <v>0</v>
      </c>
      <c r="Q29" s="19"/>
      <c r="R29" s="39">
        <f>'PFEF SRC'!AB29</f>
        <v>0</v>
      </c>
      <c r="S29" s="34">
        <f>'PFEF SRC'!AC29</f>
        <v>0</v>
      </c>
      <c r="T29" s="19"/>
      <c r="U29" s="40">
        <f>'PFEF SRC'!AJ29</f>
        <v>0</v>
      </c>
      <c r="V29" s="58">
        <f>'PFEF SRC'!AK29</f>
        <v>0</v>
      </c>
      <c r="W29" s="32" t="str">
        <f>'PFEF SRC'!AL29</f>
        <v>ALL</v>
      </c>
    </row>
    <row r="30" spans="1:23" s="17" customFormat="1">
      <c r="A30" s="90">
        <f>'PFEF SRC'!A30</f>
        <v>0</v>
      </c>
      <c r="B30" s="18" t="str">
        <f>'PFEF SRC'!B30</f>
        <v>friend-group</v>
      </c>
      <c r="C30" s="39">
        <f>'PFEF SRC'!C30</f>
        <v>0</v>
      </c>
      <c r="D30" s="34">
        <f>'PFEF SRC'!D30</f>
        <v>0</v>
      </c>
      <c r="E30" s="19"/>
      <c r="F30" s="39">
        <f>'PFEF SRC'!H30</f>
        <v>0</v>
      </c>
      <c r="G30" s="34">
        <f>'PFEF SRC'!I30</f>
        <v>0</v>
      </c>
      <c r="H30" s="19"/>
      <c r="I30" s="39">
        <f>'PFEF SRC'!M30</f>
        <v>0</v>
      </c>
      <c r="J30" s="34">
        <f>'PFEF SRC'!N30</f>
        <v>0</v>
      </c>
      <c r="K30" s="19"/>
      <c r="L30" s="39">
        <f>'PFEF SRC'!R30</f>
        <v>0</v>
      </c>
      <c r="M30" s="34">
        <f>'PFEF SRC'!S30</f>
        <v>0</v>
      </c>
      <c r="N30" s="19"/>
      <c r="O30" s="39">
        <f>'PFEF SRC'!W30</f>
        <v>0</v>
      </c>
      <c r="P30" s="34">
        <f>'PFEF SRC'!X30</f>
        <v>0</v>
      </c>
      <c r="Q30" s="19"/>
      <c r="R30" s="39">
        <f>'PFEF SRC'!AB30</f>
        <v>0</v>
      </c>
      <c r="S30" s="34">
        <f>'PFEF SRC'!AC30</f>
        <v>0</v>
      </c>
      <c r="T30" s="19"/>
      <c r="U30" s="40">
        <f>'PFEF SRC'!AJ30</f>
        <v>0</v>
      </c>
      <c r="V30" s="58">
        <f>'PFEF SRC'!AK30</f>
        <v>0</v>
      </c>
      <c r="W30" s="32" t="str">
        <f>'PFEF SRC'!AL30</f>
        <v>f-g</v>
      </c>
    </row>
    <row r="31" spans="1:23" s="17" customFormat="1">
      <c r="A31" s="90">
        <f>'PFEF SRC'!A31</f>
        <v>0</v>
      </c>
      <c r="B31" s="18" t="str">
        <f>'PFEF SRC'!B31</f>
        <v>personal-interested</v>
      </c>
      <c r="C31" s="39">
        <f>'PFEF SRC'!C31</f>
        <v>0</v>
      </c>
      <c r="D31" s="34">
        <f>'PFEF SRC'!D31</f>
        <v>0</v>
      </c>
      <c r="E31" s="19"/>
      <c r="F31" s="39">
        <f>'PFEF SRC'!H31</f>
        <v>0</v>
      </c>
      <c r="G31" s="34">
        <f>'PFEF SRC'!I31</f>
        <v>0</v>
      </c>
      <c r="H31" s="19"/>
      <c r="I31" s="39">
        <f>'PFEF SRC'!M31</f>
        <v>0</v>
      </c>
      <c r="J31" s="34">
        <f>'PFEF SRC'!N31</f>
        <v>0</v>
      </c>
      <c r="K31" s="19"/>
      <c r="L31" s="39">
        <f>'PFEF SRC'!R31</f>
        <v>0</v>
      </c>
      <c r="M31" s="34">
        <f>'PFEF SRC'!S31</f>
        <v>0</v>
      </c>
      <c r="N31" s="19"/>
      <c r="O31" s="39">
        <f>'PFEF SRC'!W31</f>
        <v>0</v>
      </c>
      <c r="P31" s="34">
        <f>'PFEF SRC'!X31</f>
        <v>0</v>
      </c>
      <c r="Q31" s="19"/>
      <c r="R31" s="39">
        <f>'PFEF SRC'!AB31</f>
        <v>0</v>
      </c>
      <c r="S31" s="34">
        <f>'PFEF SRC'!AC31</f>
        <v>0</v>
      </c>
      <c r="T31" s="19"/>
      <c r="U31" s="40">
        <f>'PFEF SRC'!AJ31</f>
        <v>0</v>
      </c>
      <c r="V31" s="58">
        <f>'PFEF SRC'!AK31</f>
        <v>0</v>
      </c>
      <c r="W31" s="32" t="str">
        <f>'PFEF SRC'!AL31</f>
        <v>p-i</v>
      </c>
    </row>
    <row r="32" spans="1:23" s="17" customFormat="1">
      <c r="A32" s="90">
        <f>'PFEF SRC'!A32</f>
        <v>0</v>
      </c>
      <c r="B32" s="18" t="str">
        <f>'PFEF SRC'!B32</f>
        <v>urgency</v>
      </c>
      <c r="C32" s="39">
        <f>'PFEF SRC'!C32</f>
        <v>0</v>
      </c>
      <c r="D32" s="34">
        <f>'PFEF SRC'!D32</f>
        <v>0</v>
      </c>
      <c r="E32" s="19"/>
      <c r="F32" s="39">
        <f>'PFEF SRC'!H32</f>
        <v>0</v>
      </c>
      <c r="G32" s="34">
        <f>'PFEF SRC'!I32</f>
        <v>0</v>
      </c>
      <c r="H32" s="19"/>
      <c r="I32" s="39">
        <f>'PFEF SRC'!M32</f>
        <v>0</v>
      </c>
      <c r="J32" s="34">
        <f>'PFEF SRC'!N32</f>
        <v>0</v>
      </c>
      <c r="K32" s="19"/>
      <c r="L32" s="39">
        <f>'PFEF SRC'!R32</f>
        <v>0</v>
      </c>
      <c r="M32" s="34">
        <f>'PFEF SRC'!S32</f>
        <v>0</v>
      </c>
      <c r="N32" s="19"/>
      <c r="O32" s="39">
        <f>'PFEF SRC'!W32</f>
        <v>0</v>
      </c>
      <c r="P32" s="34">
        <f>'PFEF SRC'!X32</f>
        <v>0</v>
      </c>
      <c r="Q32" s="19"/>
      <c r="R32" s="39">
        <f>'PFEF SRC'!AB32</f>
        <v>0</v>
      </c>
      <c r="S32" s="34">
        <f>'PFEF SRC'!AC32</f>
        <v>0</v>
      </c>
      <c r="T32" s="19"/>
      <c r="U32" s="40">
        <f>'PFEF SRC'!AJ32</f>
        <v>0</v>
      </c>
      <c r="V32" s="58">
        <f>'PFEF SRC'!AK32</f>
        <v>0</v>
      </c>
      <c r="W32" s="32" t="str">
        <f>'PFEF SRC'!AL32</f>
        <v>ur</v>
      </c>
    </row>
    <row r="33" spans="1:23" s="17" customFormat="1">
      <c r="A33" s="90">
        <f>'PFEF SRC'!A33</f>
        <v>0</v>
      </c>
      <c r="B33" s="18" t="str">
        <f>'PFEF SRC'!B33</f>
        <v>work-logistics</v>
      </c>
      <c r="C33" s="39">
        <f>'PFEF SRC'!C33</f>
        <v>0</v>
      </c>
      <c r="D33" s="34">
        <f>'PFEF SRC'!D33</f>
        <v>0</v>
      </c>
      <c r="E33" s="19"/>
      <c r="F33" s="39">
        <f>'PFEF SRC'!H33</f>
        <v>0</v>
      </c>
      <c r="G33" s="34">
        <f>'PFEF SRC'!I33</f>
        <v>0</v>
      </c>
      <c r="H33" s="19"/>
      <c r="I33" s="39">
        <f>'PFEF SRC'!M33</f>
        <v>0</v>
      </c>
      <c r="J33" s="34">
        <f>'PFEF SRC'!N33</f>
        <v>0</v>
      </c>
      <c r="K33" s="19"/>
      <c r="L33" s="39">
        <f>'PFEF SRC'!R33</f>
        <v>0</v>
      </c>
      <c r="M33" s="34">
        <f>'PFEF SRC'!S33</f>
        <v>0</v>
      </c>
      <c r="N33" s="19"/>
      <c r="O33" s="39">
        <f>'PFEF SRC'!W33</f>
        <v>0</v>
      </c>
      <c r="P33" s="34">
        <f>'PFEF SRC'!X33</f>
        <v>0</v>
      </c>
      <c r="Q33" s="19"/>
      <c r="R33" s="39">
        <f>'PFEF SRC'!AB33</f>
        <v>0</v>
      </c>
      <c r="S33" s="34">
        <f>'PFEF SRC'!AC33</f>
        <v>0</v>
      </c>
      <c r="T33" s="19"/>
      <c r="U33" s="40">
        <f>'PFEF SRC'!AJ33</f>
        <v>0</v>
      </c>
      <c r="V33" s="58">
        <f>'PFEF SRC'!AK33</f>
        <v>0</v>
      </c>
      <c r="W33" s="32" t="str">
        <f>'PFEF SRC'!AL33</f>
        <v>w-l</v>
      </c>
    </row>
    <row r="34" spans="1:23" s="17" customFormat="1">
      <c r="A34" s="90">
        <f>'PFEF SRC'!A34</f>
        <v>0</v>
      </c>
      <c r="B34" s="18" t="str">
        <f>'PFEF SRC'!B34</f>
        <v>work-pers</v>
      </c>
      <c r="C34" s="39">
        <f>'PFEF SRC'!C34</f>
        <v>0</v>
      </c>
      <c r="D34" s="34">
        <f>'PFEF SRC'!D34</f>
        <v>0</v>
      </c>
      <c r="E34" s="19"/>
      <c r="F34" s="39">
        <f>'PFEF SRC'!H34</f>
        <v>0</v>
      </c>
      <c r="G34" s="34">
        <f>'PFEF SRC'!I34</f>
        <v>0</v>
      </c>
      <c r="H34" s="19"/>
      <c r="I34" s="39">
        <f>'PFEF SRC'!M34</f>
        <v>0</v>
      </c>
      <c r="J34" s="34">
        <f>'PFEF SRC'!N34</f>
        <v>0</v>
      </c>
      <c r="K34" s="19"/>
      <c r="L34" s="39">
        <f>'PFEF SRC'!R34</f>
        <v>0</v>
      </c>
      <c r="M34" s="34">
        <f>'PFEF SRC'!S34</f>
        <v>0</v>
      </c>
      <c r="N34" s="19"/>
      <c r="O34" s="39">
        <f>'PFEF SRC'!W34</f>
        <v>0</v>
      </c>
      <c r="P34" s="34">
        <f>'PFEF SRC'!X34</f>
        <v>0</v>
      </c>
      <c r="Q34" s="19"/>
      <c r="R34" s="39">
        <f>'PFEF SRC'!AB34</f>
        <v>0</v>
      </c>
      <c r="S34" s="34">
        <f>'PFEF SRC'!AC34</f>
        <v>0</v>
      </c>
      <c r="T34" s="19"/>
      <c r="U34" s="40">
        <f>'PFEF SRC'!AJ34</f>
        <v>0</v>
      </c>
      <c r="V34" s="58">
        <f>'PFEF SRC'!AK34</f>
        <v>0</v>
      </c>
      <c r="W34" s="32" t="str">
        <f>'PFEF SRC'!AL34</f>
        <v>w-p</v>
      </c>
    </row>
    <row r="35" spans="1:23" s="17" customFormat="1">
      <c r="A35" s="90">
        <f>'PFEF SRC'!A35</f>
        <v>0</v>
      </c>
      <c r="B35" s="18" t="str">
        <f>'PFEF SRC'!B35</f>
        <v>work-relevant</v>
      </c>
      <c r="C35" s="39">
        <f>'PFEF SRC'!C35</f>
        <v>0</v>
      </c>
      <c r="D35" s="34">
        <f>'PFEF SRC'!D35</f>
        <v>0</v>
      </c>
      <c r="E35" s="19"/>
      <c r="F35" s="39">
        <f>'PFEF SRC'!H35</f>
        <v>0</v>
      </c>
      <c r="G35" s="34">
        <f>'PFEF SRC'!I35</f>
        <v>0</v>
      </c>
      <c r="H35" s="19"/>
      <c r="I35" s="39">
        <f>'PFEF SRC'!M35</f>
        <v>0</v>
      </c>
      <c r="J35" s="34">
        <f>'PFEF SRC'!N35</f>
        <v>0</v>
      </c>
      <c r="K35" s="19"/>
      <c r="L35" s="39">
        <f>'PFEF SRC'!R35</f>
        <v>0</v>
      </c>
      <c r="M35" s="34">
        <f>'PFEF SRC'!S35</f>
        <v>0</v>
      </c>
      <c r="N35" s="19"/>
      <c r="O35" s="39">
        <f>'PFEF SRC'!W35</f>
        <v>0</v>
      </c>
      <c r="P35" s="34">
        <f>'PFEF SRC'!X35</f>
        <v>0</v>
      </c>
      <c r="Q35" s="19"/>
      <c r="R35" s="39">
        <f>'PFEF SRC'!AB35</f>
        <v>0</v>
      </c>
      <c r="S35" s="34">
        <f>'PFEF SRC'!AC35</f>
        <v>0</v>
      </c>
      <c r="T35" s="19"/>
      <c r="U35" s="40">
        <f>'PFEF SRC'!AJ35</f>
        <v>0</v>
      </c>
      <c r="V35" s="58">
        <f>'PFEF SRC'!AK35</f>
        <v>0</v>
      </c>
      <c r="W35" s="32" t="str">
        <f>'PFEF SRC'!AL35</f>
        <v>w-r</v>
      </c>
    </row>
    <row r="36" spans="1:23" s="17" customFormat="1">
      <c r="A36" s="90"/>
      <c r="B36" s="18"/>
      <c r="C36" s="39"/>
      <c r="D36" s="34"/>
      <c r="E36" s="19"/>
      <c r="F36" s="39"/>
      <c r="G36" s="34"/>
      <c r="H36" s="19"/>
      <c r="I36" s="39"/>
      <c r="J36" s="34"/>
      <c r="K36" s="19"/>
      <c r="L36" s="39"/>
      <c r="M36" s="34"/>
      <c r="N36" s="19"/>
      <c r="O36" s="39"/>
      <c r="P36" s="34"/>
      <c r="Q36" s="19"/>
      <c r="R36" s="39"/>
      <c r="S36" s="34"/>
      <c r="T36" s="19"/>
      <c r="U36" s="40"/>
      <c r="V36" s="58"/>
      <c r="W36" s="32"/>
    </row>
    <row r="37" spans="1:23" s="17" customFormat="1">
      <c r="A37" s="90" t="str">
        <f>'PFEF SRC'!A37</f>
        <v>Kenton</v>
      </c>
      <c r="B37" s="18" t="str">
        <f>'PFEF SRC'!B37</f>
        <v>ALL</v>
      </c>
      <c r="C37" s="39">
        <f>'PFEF SRC'!C37</f>
        <v>0.26800000000000002</v>
      </c>
      <c r="D37" s="34">
        <f>'PFEF SRC'!D37</f>
        <v>0</v>
      </c>
      <c r="E37" s="19"/>
      <c r="F37" s="39">
        <f>'PFEF SRC'!H37</f>
        <v>0.192</v>
      </c>
      <c r="G37" s="34">
        <f>'PFEF SRC'!I37</f>
        <v>0</v>
      </c>
      <c r="H37" s="19"/>
      <c r="I37" s="39">
        <f>'PFEF SRC'!M37</f>
        <v>8.8999999999999996E-2</v>
      </c>
      <c r="J37" s="34">
        <f>'PFEF SRC'!N37</f>
        <v>0.1517</v>
      </c>
      <c r="K37" s="19"/>
      <c r="L37" s="39">
        <f>'PFEF SRC'!R37</f>
        <v>0.378</v>
      </c>
      <c r="M37" s="34">
        <f>'PFEF SRC'!S37</f>
        <v>0</v>
      </c>
      <c r="N37" s="19"/>
      <c r="O37" s="39">
        <f>'PFEF SRC'!W37</f>
        <v>0.85599999999999998</v>
      </c>
      <c r="P37" s="34">
        <f>'PFEF SRC'!X37</f>
        <v>0</v>
      </c>
      <c r="Q37" s="19"/>
      <c r="R37" s="39">
        <f>'PFEF SRC'!AB37</f>
        <v>0.72799999999999998</v>
      </c>
      <c r="S37" s="34">
        <f>'PFEF SRC'!AC37</f>
        <v>0</v>
      </c>
      <c r="T37" s="19"/>
      <c r="U37" s="40">
        <f>'PFEF SRC'!AJ37</f>
        <v>0.54686470785001706</v>
      </c>
      <c r="V37" s="58"/>
      <c r="W37" s="32" t="str">
        <f>'PFEF SRC'!AL37</f>
        <v>ALL</v>
      </c>
    </row>
    <row r="38" spans="1:23" s="17" customFormat="1">
      <c r="A38" s="90" t="str">
        <f>'PFEF SRC'!A38</f>
        <v>Kenton</v>
      </c>
      <c r="B38" s="18" t="str">
        <f>'PFEF SRC'!B38</f>
        <v>football</v>
      </c>
      <c r="C38" s="39">
        <f>'PFEF SRC'!C38</f>
        <v>0.48899999999999999</v>
      </c>
      <c r="D38" s="34">
        <f>'PFEF SRC'!D38</f>
        <v>1.1999999999999999E-3</v>
      </c>
      <c r="E38" s="19"/>
      <c r="F38" s="39">
        <f>'PFEF SRC'!H38</f>
        <v>0.27</v>
      </c>
      <c r="G38" s="34">
        <f>'PFEF SRC'!I38</f>
        <v>3.5000000000000001E-3</v>
      </c>
      <c r="H38" s="19"/>
      <c r="I38" s="39">
        <f>'PFEF SRC'!M38</f>
        <v>5.2999999999999999E-2</v>
      </c>
      <c r="J38" s="34">
        <f>'PFEF SRC'!N38</f>
        <v>0.75649999999999995</v>
      </c>
      <c r="K38" s="19"/>
      <c r="L38" s="39">
        <f>'PFEF SRC'!R38</f>
        <v>0.46400000000000002</v>
      </c>
      <c r="M38" s="34">
        <f>'PFEF SRC'!S38</f>
        <v>6.4999999999999997E-3</v>
      </c>
      <c r="N38" s="19"/>
      <c r="O38" s="39">
        <f>'PFEF SRC'!W38</f>
        <v>1</v>
      </c>
      <c r="P38" s="34">
        <f>'PFEF SRC'!X38</f>
        <v>0</v>
      </c>
      <c r="Q38" s="19"/>
      <c r="R38" s="39">
        <f>'PFEF SRC'!AB38</f>
        <v>0.74199999999999999</v>
      </c>
      <c r="S38" s="34">
        <f>'PFEF SRC'!AC38</f>
        <v>0</v>
      </c>
      <c r="T38" s="19"/>
      <c r="U38" s="40">
        <f>'PFEF SRC'!AJ38</f>
        <v>0.57421189944602402</v>
      </c>
      <c r="V38" s="58">
        <f>'PFEF SRC'!AK38</f>
        <v>2.7347191596006959E-2</v>
      </c>
      <c r="W38" s="32" t="str">
        <f>'PFEF SRC'!AL38</f>
        <v>fo</v>
      </c>
    </row>
    <row r="39" spans="1:23" s="17" customFormat="1">
      <c r="A39" s="90" t="str">
        <f>'PFEF SRC'!A39</f>
        <v>Kenton</v>
      </c>
      <c r="B39" s="18" t="str">
        <f>'PFEF SRC'!B39</f>
        <v>golf</v>
      </c>
      <c r="C39" s="39">
        <f>'PFEF SRC'!C39</f>
        <v>-9.0999999999999998E-2</v>
      </c>
      <c r="D39" s="34">
        <f>'PFEF SRC'!D39</f>
        <v>0.5655</v>
      </c>
      <c r="E39" s="19"/>
      <c r="F39" s="39">
        <f>'PFEF SRC'!H39</f>
        <v>-2.5999999999999999E-2</v>
      </c>
      <c r="G39" s="34">
        <f>'PFEF SRC'!I39</f>
        <v>0.77500000000000002</v>
      </c>
      <c r="H39" s="19"/>
      <c r="I39" s="39">
        <f>'PFEF SRC'!M39</f>
        <v>0.251</v>
      </c>
      <c r="J39" s="34">
        <f>'PFEF SRC'!N39</f>
        <v>0.13469999999999999</v>
      </c>
      <c r="K39" s="19"/>
      <c r="L39" s="39">
        <f>'PFEF SRC'!R39</f>
        <v>0.50800000000000001</v>
      </c>
      <c r="M39" s="34">
        <f>'PFEF SRC'!S39</f>
        <v>2.2000000000000001E-3</v>
      </c>
      <c r="N39" s="19"/>
      <c r="O39" s="39">
        <f>'PFEF SRC'!W39</f>
        <v>0</v>
      </c>
      <c r="P39" s="34">
        <f>'PFEF SRC'!X39</f>
        <v>0</v>
      </c>
      <c r="Q39" s="19"/>
      <c r="R39" s="39">
        <f>'PFEF SRC'!AB39</f>
        <v>0.28299999999999997</v>
      </c>
      <c r="S39" s="34">
        <f>'PFEF SRC'!AC39</f>
        <v>1.37E-2</v>
      </c>
      <c r="T39" s="19"/>
      <c r="U39" s="40">
        <f>'PFEF SRC'!AJ39</f>
        <v>0.40154144939131065</v>
      </c>
      <c r="V39" s="58">
        <f>'PFEF SRC'!AK39</f>
        <v>-0.14532325845870642</v>
      </c>
      <c r="W39" s="30" t="str">
        <f>'PFEF SRC'!AL39</f>
        <v>go</v>
      </c>
    </row>
    <row r="40" spans="1:23" s="17" customFormat="1">
      <c r="A40" s="90" t="str">
        <f>'PFEF SRC'!A40</f>
        <v>Kenton</v>
      </c>
      <c r="B40" s="18" t="str">
        <f>'PFEF SRC'!B40</f>
        <v>golf-logistics</v>
      </c>
      <c r="C40" s="39">
        <f>'PFEF SRC'!C40</f>
        <v>-5.8999999999999997E-2</v>
      </c>
      <c r="D40" s="34">
        <f>'PFEF SRC'!D40</f>
        <v>0.71309999999999996</v>
      </c>
      <c r="E40" s="19"/>
      <c r="F40" s="39">
        <f>'PFEF SRC'!H40</f>
        <v>0.224</v>
      </c>
      <c r="G40" s="34">
        <f>'PFEF SRC'!I40</f>
        <v>1.5900000000000001E-2</v>
      </c>
      <c r="H40" s="19"/>
      <c r="I40" s="39">
        <f>'PFEF SRC'!M40</f>
        <v>3.9E-2</v>
      </c>
      <c r="J40" s="34">
        <f>'PFEF SRC'!N40</f>
        <v>0.81859999999999999</v>
      </c>
      <c r="K40" s="19"/>
      <c r="L40" s="39">
        <f>'PFEF SRC'!R40</f>
        <v>0.54800000000000004</v>
      </c>
      <c r="M40" s="34">
        <f>'PFEF SRC'!S40</f>
        <v>8.0000000000000004E-4</v>
      </c>
      <c r="N40" s="19"/>
      <c r="O40" s="39">
        <f>'PFEF SRC'!W40</f>
        <v>0</v>
      </c>
      <c r="P40" s="34">
        <f>'PFEF SRC'!X40</f>
        <v>0</v>
      </c>
      <c r="Q40" s="19"/>
      <c r="R40" s="39">
        <f>'PFEF SRC'!AB40</f>
        <v>0.20699999999999999</v>
      </c>
      <c r="S40" s="34">
        <f>'PFEF SRC'!AC40</f>
        <v>7.4099999999999999E-2</v>
      </c>
      <c r="T40" s="19"/>
      <c r="U40" s="40">
        <f>'PFEF SRC'!AJ40</f>
        <v>0.33738525381119577</v>
      </c>
      <c r="V40" s="58">
        <f>'PFEF SRC'!AK40</f>
        <v>-0.20947945403882129</v>
      </c>
      <c r="W40" s="30" t="str">
        <f>'PFEF SRC'!AL40</f>
        <v>g-l</v>
      </c>
    </row>
    <row r="41" spans="1:23" s="17" customFormat="1">
      <c r="A41" s="90" t="str">
        <f>'PFEF SRC'!A41</f>
        <v>Kenton</v>
      </c>
      <c r="B41" s="18" t="str">
        <f>'PFEF SRC'!B41</f>
        <v>interested</v>
      </c>
      <c r="C41" s="39">
        <f>'PFEF SRC'!C41</f>
        <v>0.35199999999999998</v>
      </c>
      <c r="D41" s="34">
        <f>'PFEF SRC'!D41</f>
        <v>2.4199999999999999E-2</v>
      </c>
      <c r="E41" s="19"/>
      <c r="F41" s="39">
        <f>'PFEF SRC'!H41</f>
        <v>0.19400000000000001</v>
      </c>
      <c r="G41" s="34">
        <f>'PFEF SRC'!I41</f>
        <v>3.6700000000000003E-2</v>
      </c>
      <c r="H41" s="19"/>
      <c r="I41" s="39">
        <f>'PFEF SRC'!M41</f>
        <v>0.13400000000000001</v>
      </c>
      <c r="J41" s="34">
        <f>'PFEF SRC'!N41</f>
        <v>0.42959999999999998</v>
      </c>
      <c r="K41" s="19"/>
      <c r="L41" s="39">
        <f>'PFEF SRC'!R41</f>
        <v>0.27600000000000002</v>
      </c>
      <c r="M41" s="34">
        <f>'PFEF SRC'!S41</f>
        <v>0.12039999999999999</v>
      </c>
      <c r="N41" s="19"/>
      <c r="O41" s="39">
        <f>'PFEF SRC'!W41</f>
        <v>0.86499999999999999</v>
      </c>
      <c r="P41" s="34">
        <f>'PFEF SRC'!X41</f>
        <v>0</v>
      </c>
      <c r="Q41" s="19"/>
      <c r="R41" s="39">
        <f>'PFEF SRC'!AB41</f>
        <v>0.86499999999999999</v>
      </c>
      <c r="S41" s="34">
        <f>'PFEF SRC'!AC41</f>
        <v>0</v>
      </c>
      <c r="T41" s="19"/>
      <c r="U41" s="40">
        <f>'PFEF SRC'!AJ41</f>
        <v>0.66263072659092348</v>
      </c>
      <c r="V41" s="58">
        <f>'PFEF SRC'!AK41</f>
        <v>0.11576601874090642</v>
      </c>
      <c r="W41" s="30" t="str">
        <f>'PFEF SRC'!AL41</f>
        <v>in</v>
      </c>
    </row>
    <row r="42" spans="1:23" s="17" customFormat="1">
      <c r="A42" s="90" t="str">
        <f>'PFEF SRC'!A42</f>
        <v>Kenton</v>
      </c>
      <c r="B42" s="18" t="str">
        <f>'PFEF SRC'!B42</f>
        <v>urgency</v>
      </c>
      <c r="C42" s="39">
        <f>'PFEF SRC'!C42</f>
        <v>0.46200000000000002</v>
      </c>
      <c r="D42" s="34">
        <f>'PFEF SRC'!D42</f>
        <v>2.3E-3</v>
      </c>
      <c r="E42" s="19"/>
      <c r="F42" s="39">
        <f>'PFEF SRC'!H42</f>
        <v>0.34100000000000003</v>
      </c>
      <c r="G42" s="34">
        <f>'PFEF SRC'!I42</f>
        <v>2.0000000000000001E-4</v>
      </c>
      <c r="H42" s="19"/>
      <c r="I42" s="39">
        <f>'PFEF SRC'!M42</f>
        <v>-0.11</v>
      </c>
      <c r="J42" s="34">
        <f>'PFEF SRC'!N42</f>
        <v>0.51570000000000005</v>
      </c>
      <c r="K42" s="19"/>
      <c r="L42" s="39">
        <f>'PFEF SRC'!R42</f>
        <v>0.61699999999999999</v>
      </c>
      <c r="M42" s="34">
        <f>'PFEF SRC'!S42</f>
        <v>1E-4</v>
      </c>
      <c r="N42" s="19"/>
      <c r="O42" s="39">
        <f>'PFEF SRC'!W42</f>
        <v>0.76700000000000002</v>
      </c>
      <c r="P42" s="34">
        <f>'PFEF SRC'!X42</f>
        <v>0</v>
      </c>
      <c r="Q42" s="19"/>
      <c r="R42" s="39">
        <f>'PFEF SRC'!AB42</f>
        <v>0.68600000000000005</v>
      </c>
      <c r="S42" s="34">
        <f>'PFEF SRC'!AC42</f>
        <v>0</v>
      </c>
      <c r="T42" s="19"/>
      <c r="U42" s="40">
        <f>'PFEF SRC'!AJ42</f>
        <v>0.59522305648830176</v>
      </c>
      <c r="V42" s="58">
        <f>'PFEF SRC'!AK42</f>
        <v>4.8358348638284698E-2</v>
      </c>
      <c r="W42" s="30" t="str">
        <f>'PFEF SRC'!AL42</f>
        <v>ur</v>
      </c>
    </row>
    <row r="43" spans="1:23" s="17" customFormat="1">
      <c r="A43" s="90" t="str">
        <f>'PFEF SRC'!A43</f>
        <v>Kenton</v>
      </c>
      <c r="B43" s="18" t="str">
        <f>'PFEF SRC'!B43</f>
        <v>work-logistics</v>
      </c>
      <c r="C43" s="39">
        <f>'PFEF SRC'!C43</f>
        <v>0.45800000000000002</v>
      </c>
      <c r="D43" s="34">
        <f>'PFEF SRC'!D43</f>
        <v>2.5999999999999999E-3</v>
      </c>
      <c r="E43" s="19"/>
      <c r="F43" s="39">
        <f>'PFEF SRC'!H43</f>
        <v>0.14199999999999999</v>
      </c>
      <c r="G43" s="34">
        <f>'PFEF SRC'!I43</f>
        <v>0.12709999999999999</v>
      </c>
      <c r="H43" s="19"/>
      <c r="I43" s="39">
        <f>'PFEF SRC'!M43</f>
        <v>0.114</v>
      </c>
      <c r="J43" s="34">
        <f>'PFEF SRC'!N43</f>
        <v>0.50329999999999997</v>
      </c>
      <c r="K43" s="19"/>
      <c r="L43" s="39">
        <f>'PFEF SRC'!R43</f>
        <v>3.6999999999999998E-2</v>
      </c>
      <c r="M43" s="34">
        <f>'PFEF SRC'!S43</f>
        <v>0.83799999999999997</v>
      </c>
      <c r="N43" s="19"/>
      <c r="O43" s="39">
        <f>'PFEF SRC'!W43</f>
        <v>0.70499999999999996</v>
      </c>
      <c r="P43" s="34">
        <f>'PFEF SRC'!X43</f>
        <v>2.0000000000000001E-4</v>
      </c>
      <c r="Q43" s="19"/>
      <c r="R43" s="39">
        <f>'PFEF SRC'!AB43</f>
        <v>0.85699999999999998</v>
      </c>
      <c r="S43" s="34">
        <f>'PFEF SRC'!AC43</f>
        <v>0</v>
      </c>
      <c r="T43" s="19"/>
      <c r="U43" s="40">
        <f>'PFEF SRC'!AJ43</f>
        <v>0.70873065043159866</v>
      </c>
      <c r="V43" s="58">
        <f>'PFEF SRC'!AK43</f>
        <v>0.1618659425815816</v>
      </c>
      <c r="W43" s="30" t="str">
        <f>'PFEF SRC'!AL43</f>
        <v>w-l</v>
      </c>
    </row>
    <row r="44" spans="1:23" s="17" customFormat="1">
      <c r="A44" s="90" t="str">
        <f>'PFEF SRC'!A44</f>
        <v>Kenton</v>
      </c>
      <c r="B44" s="18" t="str">
        <f>'PFEF SRC'!B44</f>
        <v>work-pers</v>
      </c>
      <c r="C44" s="39">
        <f>'PFEF SRC'!C44</f>
        <v>0.26</v>
      </c>
      <c r="D44" s="34">
        <f>'PFEF SRC'!D44</f>
        <v>0.1007</v>
      </c>
      <c r="E44" s="19"/>
      <c r="F44" s="39">
        <f>'PFEF SRC'!H44</f>
        <v>0.23400000000000001</v>
      </c>
      <c r="G44" s="34">
        <f>'PFEF SRC'!I44</f>
        <v>1.15E-2</v>
      </c>
      <c r="H44" s="19"/>
      <c r="I44" s="39">
        <f>'PFEF SRC'!M44</f>
        <v>3.0000000000000001E-3</v>
      </c>
      <c r="J44" s="34">
        <f>'PFEF SRC'!N44</f>
        <v>0.98519999999999996</v>
      </c>
      <c r="K44" s="19"/>
      <c r="L44" s="39">
        <f>'PFEF SRC'!R44</f>
        <v>0.13</v>
      </c>
      <c r="M44" s="34">
        <f>'PFEF SRC'!S44</f>
        <v>0.51070000000000004</v>
      </c>
      <c r="N44" s="19"/>
      <c r="O44" s="39">
        <f>'PFEF SRC'!W44</f>
        <v>0.95499999999999996</v>
      </c>
      <c r="P44" s="34">
        <f>'PFEF SRC'!X44</f>
        <v>0</v>
      </c>
      <c r="Q44" s="19"/>
      <c r="R44" s="39">
        <f>'PFEF SRC'!AB44</f>
        <v>0.72299999999999998</v>
      </c>
      <c r="S44" s="34">
        <f>'PFEF SRC'!AC44</f>
        <v>0</v>
      </c>
      <c r="T44" s="19"/>
      <c r="U44" s="40">
        <f>'PFEF SRC'!AJ44</f>
        <v>0.7668710823346665</v>
      </c>
      <c r="V44" s="58">
        <f>'PFEF SRC'!AK44</f>
        <v>0.22000637448464944</v>
      </c>
      <c r="W44" s="30" t="str">
        <f>'PFEF SRC'!AL44</f>
        <v>w-p</v>
      </c>
    </row>
    <row r="45" spans="1:23" s="17" customFormat="1">
      <c r="A45" s="90"/>
      <c r="B45" s="18"/>
      <c r="C45" s="39"/>
      <c r="D45" s="34"/>
      <c r="E45" s="19"/>
      <c r="F45" s="39"/>
      <c r="G45" s="34"/>
      <c r="H45" s="19"/>
      <c r="I45" s="39"/>
      <c r="J45" s="34"/>
      <c r="K45" s="19"/>
      <c r="L45" s="39"/>
      <c r="M45" s="34"/>
      <c r="N45" s="19"/>
      <c r="O45" s="39"/>
      <c r="P45" s="34"/>
      <c r="Q45" s="19"/>
      <c r="R45" s="39"/>
      <c r="S45" s="34"/>
      <c r="T45" s="19"/>
      <c r="U45" s="40"/>
      <c r="V45" s="58"/>
      <c r="W45" s="30"/>
    </row>
    <row r="46" spans="1:23" s="17" customFormat="1">
      <c r="A46" s="90">
        <f>'PFEF SRC'!A46</f>
        <v>0</v>
      </c>
      <c r="B46" s="18" t="str">
        <f>'PFEF SRC'!B46</f>
        <v>ALL</v>
      </c>
      <c r="C46" s="39">
        <f>'PFEF SRC'!C46</f>
        <v>0</v>
      </c>
      <c r="D46" s="34">
        <f>'PFEF SRC'!D46</f>
        <v>0</v>
      </c>
      <c r="E46" s="19"/>
      <c r="F46" s="39">
        <f>'PFEF SRC'!H46</f>
        <v>0</v>
      </c>
      <c r="G46" s="34">
        <f>'PFEF SRC'!I46</f>
        <v>0</v>
      </c>
      <c r="H46" s="19"/>
      <c r="I46" s="39">
        <f>'PFEF SRC'!M46</f>
        <v>0</v>
      </c>
      <c r="J46" s="34">
        <f>'PFEF SRC'!N46</f>
        <v>0</v>
      </c>
      <c r="K46" s="19"/>
      <c r="L46" s="39">
        <f>'PFEF SRC'!R46</f>
        <v>0</v>
      </c>
      <c r="M46" s="34">
        <f>'PFEF SRC'!S46</f>
        <v>0</v>
      </c>
      <c r="N46" s="19"/>
      <c r="O46" s="39">
        <f>'PFEF SRC'!W46</f>
        <v>0</v>
      </c>
      <c r="P46" s="34">
        <f>'PFEF SRC'!X46</f>
        <v>0</v>
      </c>
      <c r="Q46" s="19"/>
      <c r="R46" s="39">
        <f>'PFEF SRC'!AB46</f>
        <v>0</v>
      </c>
      <c r="S46" s="34">
        <f>'PFEF SRC'!AC46</f>
        <v>0</v>
      </c>
      <c r="T46" s="19"/>
      <c r="U46" s="40">
        <f>'PFEF SRC'!AJ46</f>
        <v>0</v>
      </c>
      <c r="V46" s="58">
        <f>'PFEF SRC'!AK46</f>
        <v>0</v>
      </c>
      <c r="W46" s="30" t="str">
        <f>'PFEF SRC'!AL46</f>
        <v>ALL</v>
      </c>
    </row>
    <row r="47" spans="1:23" s="17" customFormat="1">
      <c r="A47" s="90">
        <f>'PFEF SRC'!A47</f>
        <v>0</v>
      </c>
      <c r="B47" s="18" t="str">
        <f>'PFEF SRC'!B47</f>
        <v>company-law</v>
      </c>
      <c r="C47" s="39">
        <f>'PFEF SRC'!C47</f>
        <v>0</v>
      </c>
      <c r="D47" s="34">
        <f>'PFEF SRC'!D47</f>
        <v>0</v>
      </c>
      <c r="E47" s="19"/>
      <c r="F47" s="39">
        <f>'PFEF SRC'!H47</f>
        <v>0</v>
      </c>
      <c r="G47" s="34">
        <f>'PFEF SRC'!I47</f>
        <v>0</v>
      </c>
      <c r="H47" s="19"/>
      <c r="I47" s="39">
        <f>'PFEF SRC'!M47</f>
        <v>0</v>
      </c>
      <c r="J47" s="34">
        <f>'PFEF SRC'!N47</f>
        <v>0</v>
      </c>
      <c r="K47" s="19"/>
      <c r="L47" s="39">
        <f>'PFEF SRC'!R47</f>
        <v>0</v>
      </c>
      <c r="M47" s="34">
        <f>'PFEF SRC'!S47</f>
        <v>0</v>
      </c>
      <c r="N47" s="19"/>
      <c r="O47" s="39">
        <f>'PFEF SRC'!W47</f>
        <v>0</v>
      </c>
      <c r="P47" s="34">
        <f>'PFEF SRC'!X47</f>
        <v>0</v>
      </c>
      <c r="Q47" s="19"/>
      <c r="R47" s="39">
        <f>'PFEF SRC'!AB47</f>
        <v>0</v>
      </c>
      <c r="S47" s="34">
        <f>'PFEF SRC'!AC47</f>
        <v>0</v>
      </c>
      <c r="T47" s="19"/>
      <c r="U47" s="40">
        <f>'PFEF SRC'!AJ47</f>
        <v>0</v>
      </c>
      <c r="V47" s="58">
        <f>'PFEF SRC'!AK47</f>
        <v>0</v>
      </c>
      <c r="W47" s="30" t="str">
        <f>'PFEF SRC'!AL47</f>
        <v>c-l</v>
      </c>
    </row>
    <row r="48" spans="1:23" s="17" customFormat="1">
      <c r="A48" s="90">
        <f>'PFEF SRC'!A48</f>
        <v>0</v>
      </c>
      <c r="B48" s="18" t="str">
        <f>'PFEF SRC'!B48</f>
        <v>interested</v>
      </c>
      <c r="C48" s="39">
        <f>'PFEF SRC'!C48</f>
        <v>0</v>
      </c>
      <c r="D48" s="34">
        <f>'PFEF SRC'!D48</f>
        <v>0</v>
      </c>
      <c r="E48" s="19"/>
      <c r="F48" s="39">
        <f>'PFEF SRC'!H48</f>
        <v>0</v>
      </c>
      <c r="G48" s="34">
        <f>'PFEF SRC'!I48</f>
        <v>0</v>
      </c>
      <c r="H48" s="19"/>
      <c r="I48" s="39">
        <f>'PFEF SRC'!M48</f>
        <v>0</v>
      </c>
      <c r="J48" s="34">
        <f>'PFEF SRC'!N48</f>
        <v>0</v>
      </c>
      <c r="K48" s="19"/>
      <c r="L48" s="39">
        <f>'PFEF SRC'!R48</f>
        <v>0</v>
      </c>
      <c r="M48" s="34">
        <f>'PFEF SRC'!S48</f>
        <v>0</v>
      </c>
      <c r="N48" s="19"/>
      <c r="O48" s="39">
        <f>'PFEF SRC'!W48</f>
        <v>0</v>
      </c>
      <c r="P48" s="34">
        <f>'PFEF SRC'!X48</f>
        <v>0</v>
      </c>
      <c r="Q48" s="19"/>
      <c r="R48" s="39">
        <f>'PFEF SRC'!AB48</f>
        <v>0</v>
      </c>
      <c r="S48" s="34">
        <f>'PFEF SRC'!AC48</f>
        <v>0</v>
      </c>
      <c r="T48" s="19"/>
      <c r="U48" s="40">
        <f>'PFEF SRC'!AJ48</f>
        <v>0</v>
      </c>
      <c r="V48" s="58">
        <f>'PFEF SRC'!AK48</f>
        <v>0</v>
      </c>
      <c r="W48" s="30" t="str">
        <f>'PFEF SRC'!AL48</f>
        <v>in</v>
      </c>
    </row>
    <row r="49" spans="1:25" s="17" customFormat="1">
      <c r="B49" s="18" t="str">
        <f>'PFEF SRC'!B49</f>
        <v>riding</v>
      </c>
      <c r="C49" s="39">
        <f>'PFEF SRC'!C49</f>
        <v>0</v>
      </c>
      <c r="D49" s="34">
        <f>'PFEF SRC'!D49</f>
        <v>0</v>
      </c>
      <c r="E49" s="19"/>
      <c r="F49" s="39">
        <f>'PFEF SRC'!H49</f>
        <v>0</v>
      </c>
      <c r="G49" s="34">
        <f>'PFEF SRC'!I49</f>
        <v>0</v>
      </c>
      <c r="H49" s="19"/>
      <c r="I49" s="39">
        <f>'PFEF SRC'!M49</f>
        <v>0</v>
      </c>
      <c r="J49" s="34">
        <f>'PFEF SRC'!N49</f>
        <v>0</v>
      </c>
      <c r="K49" s="19"/>
      <c r="L49" s="39">
        <f>'PFEF SRC'!R49</f>
        <v>0</v>
      </c>
      <c r="M49" s="34">
        <f>'PFEF SRC'!S49</f>
        <v>0</v>
      </c>
      <c r="N49" s="19"/>
      <c r="O49" s="39">
        <f>'PFEF SRC'!W49</f>
        <v>0</v>
      </c>
      <c r="P49" s="34">
        <f>'PFEF SRC'!X49</f>
        <v>0</v>
      </c>
      <c r="Q49" s="19"/>
      <c r="R49" s="39">
        <f>'PFEF SRC'!AB49</f>
        <v>0</v>
      </c>
      <c r="S49" s="34">
        <f>'PFEF SRC'!AC49</f>
        <v>0</v>
      </c>
      <c r="T49" s="19"/>
      <c r="U49" s="40">
        <f>'PFEF SRC'!AJ49</f>
        <v>0</v>
      </c>
      <c r="V49" s="58">
        <f>'PFEF SRC'!AK49</f>
        <v>0</v>
      </c>
      <c r="W49" s="30" t="str">
        <f>'PFEF SRC'!AL49</f>
        <v>ri</v>
      </c>
    </row>
    <row r="50" spans="1:25" s="17" customFormat="1">
      <c r="A50" s="90">
        <f>'PFEF SRC'!A50</f>
        <v>0</v>
      </c>
      <c r="B50" s="18" t="str">
        <f>'PFEF SRC'!B50</f>
        <v>riding-arrangements</v>
      </c>
      <c r="C50" s="39">
        <f>'PFEF SRC'!C50</f>
        <v>0</v>
      </c>
      <c r="D50" s="34">
        <f>'PFEF SRC'!D50</f>
        <v>0</v>
      </c>
      <c r="E50" s="19"/>
      <c r="F50" s="39">
        <f>'PFEF SRC'!H50</f>
        <v>0</v>
      </c>
      <c r="G50" s="34">
        <f>'PFEF SRC'!I50</f>
        <v>0</v>
      </c>
      <c r="H50" s="19"/>
      <c r="I50" s="39">
        <f>'PFEF SRC'!M50</f>
        <v>0</v>
      </c>
      <c r="J50" s="34">
        <f>'PFEF SRC'!N50</f>
        <v>0</v>
      </c>
      <c r="K50" s="19"/>
      <c r="L50" s="39">
        <f>'PFEF SRC'!R50</f>
        <v>0</v>
      </c>
      <c r="M50" s="34">
        <f>'PFEF SRC'!S50</f>
        <v>0</v>
      </c>
      <c r="N50" s="19"/>
      <c r="O50" s="39">
        <f>'PFEF SRC'!W50</f>
        <v>0</v>
      </c>
      <c r="P50" s="34">
        <f>'PFEF SRC'!X50</f>
        <v>0</v>
      </c>
      <c r="Q50" s="19"/>
      <c r="R50" s="39">
        <f>'PFEF SRC'!AB50</f>
        <v>0</v>
      </c>
      <c r="S50" s="34">
        <f>'PFEF SRC'!AC50</f>
        <v>0</v>
      </c>
      <c r="T50" s="19"/>
      <c r="U50" s="40">
        <f>'PFEF SRC'!AJ50</f>
        <v>0</v>
      </c>
      <c r="V50" s="58">
        <f>'PFEF SRC'!AK50</f>
        <v>0</v>
      </c>
      <c r="W50" s="30" t="str">
        <f>'PFEF SRC'!AL50</f>
        <v>r-a</v>
      </c>
    </row>
    <row r="51" spans="1:25" s="17" customFormat="1">
      <c r="A51" s="90">
        <f>'PFEF SRC'!A51</f>
        <v>0</v>
      </c>
      <c r="B51" s="18" t="str">
        <f>'PFEF SRC'!B51</f>
        <v>school-importance</v>
      </c>
      <c r="C51" s="39">
        <f>'PFEF SRC'!C51</f>
        <v>0</v>
      </c>
      <c r="D51" s="34">
        <f>'PFEF SRC'!D51</f>
        <v>0</v>
      </c>
      <c r="E51" s="19"/>
      <c r="F51" s="39">
        <f>'PFEF SRC'!H51</f>
        <v>0</v>
      </c>
      <c r="G51" s="34">
        <f>'PFEF SRC'!I51</f>
        <v>0</v>
      </c>
      <c r="H51" s="19"/>
      <c r="I51" s="39">
        <f>'PFEF SRC'!M51</f>
        <v>0</v>
      </c>
      <c r="J51" s="34">
        <f>'PFEF SRC'!N51</f>
        <v>0</v>
      </c>
      <c r="K51" s="19"/>
      <c r="L51" s="39">
        <f>'PFEF SRC'!R51</f>
        <v>0</v>
      </c>
      <c r="M51" s="34">
        <f>'PFEF SRC'!S51</f>
        <v>0</v>
      </c>
      <c r="N51" s="19"/>
      <c r="O51" s="39">
        <f>'PFEF SRC'!W51</f>
        <v>0</v>
      </c>
      <c r="P51" s="34">
        <f>'PFEF SRC'!X51</f>
        <v>0</v>
      </c>
      <c r="Q51" s="19"/>
      <c r="R51" s="39">
        <f>'PFEF SRC'!AB51</f>
        <v>0</v>
      </c>
      <c r="S51" s="34">
        <f>'PFEF SRC'!AC51</f>
        <v>0</v>
      </c>
      <c r="T51" s="19"/>
      <c r="U51" s="40">
        <f>'PFEF SRC'!AJ51</f>
        <v>0</v>
      </c>
      <c r="V51" s="58">
        <f>'PFEF SRC'!AK51</f>
        <v>0</v>
      </c>
      <c r="W51" s="30" t="str">
        <f>'PFEF SRC'!AL51</f>
        <v>s-i</v>
      </c>
    </row>
    <row r="52" spans="1:25" s="17" customFormat="1">
      <c r="A52" s="90">
        <f>'PFEF SRC'!A52</f>
        <v>0</v>
      </c>
      <c r="B52" s="18" t="str">
        <f>'PFEF SRC'!B52</f>
        <v>urgency</v>
      </c>
      <c r="C52" s="39">
        <f>'PFEF SRC'!C52</f>
        <v>0</v>
      </c>
      <c r="D52" s="34">
        <f>'PFEF SRC'!D52</f>
        <v>0</v>
      </c>
      <c r="E52" s="19"/>
      <c r="F52" s="39">
        <f>'PFEF SRC'!H52</f>
        <v>0</v>
      </c>
      <c r="G52" s="34">
        <f>'PFEF SRC'!I52</f>
        <v>0</v>
      </c>
      <c r="H52" s="19"/>
      <c r="I52" s="39">
        <f>'PFEF SRC'!M52</f>
        <v>0</v>
      </c>
      <c r="J52" s="34">
        <f>'PFEF SRC'!N52</f>
        <v>0</v>
      </c>
      <c r="K52" s="19"/>
      <c r="L52" s="39">
        <f>'PFEF SRC'!R52</f>
        <v>0</v>
      </c>
      <c r="M52" s="34">
        <f>'PFEF SRC'!S52</f>
        <v>0</v>
      </c>
      <c r="N52" s="19"/>
      <c r="O52" s="39">
        <f>'PFEF SRC'!W52</f>
        <v>0</v>
      </c>
      <c r="P52" s="34">
        <f>'PFEF SRC'!X52</f>
        <v>0</v>
      </c>
      <c r="Q52" s="19"/>
      <c r="R52" s="39">
        <f>'PFEF SRC'!AB52</f>
        <v>0</v>
      </c>
      <c r="S52" s="34">
        <f>'PFEF SRC'!AC52</f>
        <v>0</v>
      </c>
      <c r="T52" s="19"/>
      <c r="U52" s="40">
        <f>'PFEF SRC'!AJ52</f>
        <v>0</v>
      </c>
      <c r="V52" s="58">
        <f>'PFEF SRC'!AK52</f>
        <v>0</v>
      </c>
      <c r="W52" s="30" t="str">
        <f>'PFEF SRC'!AL52</f>
        <v>ur</v>
      </c>
    </row>
    <row r="53" spans="1:25" s="17" customFormat="1">
      <c r="A53" s="90">
        <f>'PFEF SRC'!A53</f>
        <v>0</v>
      </c>
      <c r="B53" s="18" t="str">
        <f>'PFEF SRC'!B53</f>
        <v>work-logistics</v>
      </c>
      <c r="C53" s="39">
        <f>'PFEF SRC'!C53</f>
        <v>0</v>
      </c>
      <c r="D53" s="34">
        <f>'PFEF SRC'!D53</f>
        <v>0</v>
      </c>
      <c r="E53" s="19"/>
      <c r="F53" s="39">
        <f>'PFEF SRC'!H53</f>
        <v>0</v>
      </c>
      <c r="G53" s="34">
        <f>'PFEF SRC'!I53</f>
        <v>0</v>
      </c>
      <c r="H53" s="19"/>
      <c r="I53" s="39">
        <f>'PFEF SRC'!M53</f>
        <v>0</v>
      </c>
      <c r="J53" s="34">
        <f>'PFEF SRC'!N53</f>
        <v>0</v>
      </c>
      <c r="K53" s="19"/>
      <c r="L53" s="39">
        <f>'PFEF SRC'!R53</f>
        <v>0</v>
      </c>
      <c r="M53" s="34">
        <f>'PFEF SRC'!S53</f>
        <v>0</v>
      </c>
      <c r="N53" s="19"/>
      <c r="O53" s="39">
        <f>'PFEF SRC'!W53</f>
        <v>0</v>
      </c>
      <c r="P53" s="34">
        <f>'PFEF SRC'!X53</f>
        <v>0</v>
      </c>
      <c r="Q53" s="19"/>
      <c r="R53" s="39">
        <f>'PFEF SRC'!AB53</f>
        <v>0</v>
      </c>
      <c r="S53" s="34">
        <f>'PFEF SRC'!AC53</f>
        <v>0</v>
      </c>
      <c r="T53" s="19"/>
      <c r="U53" s="40">
        <f>'PFEF SRC'!AJ53</f>
        <v>0</v>
      </c>
      <c r="V53" s="58">
        <f>'PFEF SRC'!AK53</f>
        <v>0</v>
      </c>
      <c r="W53" s="30" t="str">
        <f>'PFEF SRC'!AL53</f>
        <v>w-l</v>
      </c>
    </row>
    <row r="54" spans="1:25" s="17" customFormat="1">
      <c r="A54" s="90">
        <f>'PFEF SRC'!A54</f>
        <v>0</v>
      </c>
      <c r="B54" s="18" t="str">
        <f>'PFEF SRC'!B54</f>
        <v>work-pers</v>
      </c>
      <c r="C54" s="39">
        <f>'PFEF SRC'!C54</f>
        <v>0</v>
      </c>
      <c r="D54" s="34">
        <f>'PFEF SRC'!D54</f>
        <v>0</v>
      </c>
      <c r="E54" s="19"/>
      <c r="F54" s="39">
        <f>'PFEF SRC'!H54</f>
        <v>0</v>
      </c>
      <c r="G54" s="34">
        <f>'PFEF SRC'!I54</f>
        <v>0</v>
      </c>
      <c r="H54" s="19"/>
      <c r="I54" s="39">
        <f>'PFEF SRC'!M54</f>
        <v>0</v>
      </c>
      <c r="J54" s="34">
        <f>'PFEF SRC'!N54</f>
        <v>0</v>
      </c>
      <c r="K54" s="19"/>
      <c r="L54" s="39">
        <f>'PFEF SRC'!R54</f>
        <v>0</v>
      </c>
      <c r="M54" s="34">
        <f>'PFEF SRC'!S54</f>
        <v>0</v>
      </c>
      <c r="N54" s="19"/>
      <c r="O54" s="39">
        <f>'PFEF SRC'!W54</f>
        <v>0</v>
      </c>
      <c r="P54" s="34">
        <f>'PFEF SRC'!X54</f>
        <v>0</v>
      </c>
      <c r="Q54" s="19"/>
      <c r="R54" s="39">
        <f>'PFEF SRC'!AB54</f>
        <v>0</v>
      </c>
      <c r="S54" s="34">
        <f>'PFEF SRC'!AC54</f>
        <v>0</v>
      </c>
      <c r="T54" s="19"/>
      <c r="U54" s="40">
        <f>'PFEF SRC'!AJ54</f>
        <v>0</v>
      </c>
      <c r="V54" s="58">
        <f>'PFEF SRC'!AK54</f>
        <v>0</v>
      </c>
      <c r="W54" s="30" t="str">
        <f>'PFEF SRC'!AL54</f>
        <v>w-p</v>
      </c>
    </row>
    <row r="55" spans="1:25" s="17" customFormat="1">
      <c r="A55" s="90">
        <f>'PFEF SRC'!A55</f>
        <v>0</v>
      </c>
      <c r="B55" s="18" t="str">
        <f>'PFEF SRC'!B55</f>
        <v>work-relevant</v>
      </c>
      <c r="C55" s="39">
        <f>'PFEF SRC'!C55</f>
        <v>0</v>
      </c>
      <c r="D55" s="34">
        <f>'PFEF SRC'!D55</f>
        <v>0</v>
      </c>
      <c r="E55" s="19"/>
      <c r="F55" s="39">
        <f>'PFEF SRC'!H55</f>
        <v>0</v>
      </c>
      <c r="G55" s="34">
        <f>'PFEF SRC'!I55</f>
        <v>0</v>
      </c>
      <c r="H55" s="19"/>
      <c r="I55" s="39">
        <f>'PFEF SRC'!M55</f>
        <v>0</v>
      </c>
      <c r="J55" s="34">
        <f>'PFEF SRC'!N55</f>
        <v>0</v>
      </c>
      <c r="K55" s="19"/>
      <c r="L55" s="39">
        <f>'PFEF SRC'!R55</f>
        <v>0</v>
      </c>
      <c r="M55" s="34">
        <f>'PFEF SRC'!S55</f>
        <v>0</v>
      </c>
      <c r="N55" s="19"/>
      <c r="O55" s="39">
        <f>'PFEF SRC'!W55</f>
        <v>0</v>
      </c>
      <c r="P55" s="34">
        <f>'PFEF SRC'!X55</f>
        <v>0</v>
      </c>
      <c r="Q55" s="19"/>
      <c r="R55" s="39">
        <f>'PFEF SRC'!AB55</f>
        <v>0</v>
      </c>
      <c r="S55" s="34">
        <f>'PFEF SRC'!AC55</f>
        <v>0</v>
      </c>
      <c r="T55" s="19"/>
      <c r="U55" s="40">
        <f>'PFEF SRC'!AJ55</f>
        <v>0</v>
      </c>
      <c r="V55" s="58">
        <f>'PFEF SRC'!AK55</f>
        <v>0</v>
      </c>
      <c r="W55" s="30">
        <f>'PFEF SRC'!AL55</f>
        <v>0</v>
      </c>
    </row>
    <row r="56" spans="1:25" s="17" customFormat="1" ht="15.6" customHeight="1">
      <c r="A56" s="90"/>
      <c r="B56" s="18"/>
      <c r="C56" s="39"/>
      <c r="D56" s="34"/>
      <c r="E56" s="19"/>
      <c r="F56" s="39"/>
      <c r="G56" s="34"/>
      <c r="H56" s="19"/>
      <c r="I56" s="39"/>
      <c r="J56" s="34"/>
      <c r="K56" s="19"/>
      <c r="L56" s="39"/>
      <c r="M56" s="34"/>
      <c r="N56" s="19"/>
      <c r="O56" s="39"/>
      <c r="P56" s="34"/>
      <c r="Q56" s="19"/>
      <c r="R56" s="39"/>
      <c r="S56" s="34"/>
      <c r="T56" s="19"/>
      <c r="U56" s="40"/>
      <c r="V56" s="58"/>
      <c r="W56" s="30"/>
    </row>
    <row r="57" spans="1:25" s="17" customFormat="1" ht="17.399999999999999" customHeight="1">
      <c r="A57" s="88" t="str">
        <f>'PFEF SRC'!A66</f>
        <v>Model label:</v>
      </c>
      <c r="B57" s="88"/>
      <c r="C57" s="83" t="str">
        <f>'PFEF SRC'!C66</f>
        <v>V-M1-A</v>
      </c>
      <c r="D57" s="83"/>
      <c r="E57" s="84"/>
      <c r="F57" s="83" t="str">
        <f>'PFEF SRC'!H66</f>
        <v>V-M1-B</v>
      </c>
      <c r="G57" s="83"/>
      <c r="H57" s="84"/>
      <c r="I57" s="83" t="str">
        <f>'PFEF SRC'!M66</f>
        <v>V-M2</v>
      </c>
      <c r="J57" s="83"/>
      <c r="K57" s="84"/>
      <c r="L57" s="83" t="str">
        <f>'PFEF SRC'!R66</f>
        <v>B-M2</v>
      </c>
      <c r="M57" s="83"/>
      <c r="N57" s="84"/>
      <c r="O57" s="83" t="str">
        <f>'PFEF SRC'!W66</f>
        <v>V4-M2</v>
      </c>
      <c r="P57" s="83"/>
      <c r="Q57" s="84"/>
      <c r="R57" s="83" t="str">
        <f>'PFEF SRC'!AB66</f>
        <v>V4o-M2</v>
      </c>
      <c r="S57" s="83"/>
      <c r="T57" s="19"/>
      <c r="U57" s="39"/>
      <c r="V57" s="73"/>
      <c r="W57" s="74"/>
      <c r="X57" s="72"/>
      <c r="Y57" s="72"/>
    </row>
    <row r="58" spans="1:25" s="17" customFormat="1" ht="17.399999999999999" customHeight="1">
      <c r="A58" s="88" t="str">
        <f>'PFEF SRC'!A58</f>
        <v>Percentage of significant rows:</v>
      </c>
      <c r="B58" s="88"/>
      <c r="C58" s="85">
        <f>'PFEF SRC'!F58</f>
        <v>0.5</v>
      </c>
      <c r="D58" s="85"/>
      <c r="E58" s="65"/>
      <c r="F58" s="85">
        <f>'PFEF SRC'!K58</f>
        <v>0.5714285714285714</v>
      </c>
      <c r="G58" s="85"/>
      <c r="H58" s="65"/>
      <c r="I58" s="85">
        <f>'PFEF SRC'!P58</f>
        <v>7.1428571428571425E-2</v>
      </c>
      <c r="J58" s="85"/>
      <c r="K58" s="65"/>
      <c r="L58" s="85">
        <f>'PFEF SRC'!U58</f>
        <v>0.5714285714285714</v>
      </c>
      <c r="M58" s="85"/>
      <c r="N58" s="65"/>
      <c r="O58" s="85">
        <f>'PFEF SRC'!Z58</f>
        <v>0.8928571428571429</v>
      </c>
      <c r="P58" s="85"/>
      <c r="Q58" s="65"/>
      <c r="R58" s="85">
        <f>'PFEF SRC'!AE58</f>
        <v>1</v>
      </c>
      <c r="S58" s="85"/>
      <c r="T58" s="19"/>
      <c r="U58" s="39"/>
      <c r="V58" s="73"/>
      <c r="W58" s="74"/>
      <c r="X58" s="72"/>
    </row>
    <row r="59" spans="1:25" s="22" customFormat="1" ht="17.399999999999999" customHeight="1">
      <c r="A59" s="88" t="str">
        <f>'PFEF SRC'!A62</f>
        <v>Mean r (significant only, excl. ALL):</v>
      </c>
      <c r="B59" s="88"/>
      <c r="C59" s="82">
        <f>'PFEF SRC'!C62</f>
        <v>0.46672727272727266</v>
      </c>
      <c r="D59" s="82"/>
      <c r="E59" s="23"/>
      <c r="F59" s="82">
        <f>'PFEF SRC'!H62</f>
        <v>0.30230769230769233</v>
      </c>
      <c r="G59" s="82"/>
      <c r="H59" s="23"/>
      <c r="I59" s="82">
        <f>'PFEF SRC'!M62</f>
        <v>1.2499999999999983E-2</v>
      </c>
      <c r="J59" s="82"/>
      <c r="K59" s="23"/>
      <c r="L59" s="82">
        <f>'PFEF SRC'!R62</f>
        <v>0.49546153846153845</v>
      </c>
      <c r="M59" s="82"/>
      <c r="N59" s="23"/>
      <c r="O59" s="82">
        <f>'PFEF SRC'!W62</f>
        <v>0.66318181818181821</v>
      </c>
      <c r="P59" s="82"/>
      <c r="Q59" s="23"/>
      <c r="R59" s="82">
        <f>'PFEF SRC'!AB62</f>
        <v>0.67259999999999986</v>
      </c>
      <c r="S59" s="82"/>
      <c r="T59" s="23"/>
      <c r="U59" s="40"/>
      <c r="V59" s="59"/>
      <c r="W59" s="30"/>
    </row>
    <row r="60" spans="1:25" s="22" customFormat="1" ht="17.399999999999999" customHeight="1">
      <c r="A60" s="88" t="str">
        <f>'PFEF SRC'!A63</f>
        <v>Mean r (significant only, ALL only):</v>
      </c>
      <c r="B60" s="88"/>
      <c r="C60" s="82">
        <f>'PFEF SRC'!C63</f>
        <v>0.24633333333333332</v>
      </c>
      <c r="D60" s="82"/>
      <c r="E60" s="23"/>
      <c r="F60" s="82">
        <f>'PFEF SRC'!H63</f>
        <v>0.157</v>
      </c>
      <c r="G60" s="82"/>
      <c r="H60" s="23"/>
      <c r="I60" s="82" t="str">
        <f>'PFEF SRC'!M63</f>
        <v>n/a</v>
      </c>
      <c r="J60" s="82"/>
      <c r="K60" s="23"/>
      <c r="L60" s="82">
        <f>'PFEF SRC'!R63</f>
        <v>0.33333333333333331</v>
      </c>
      <c r="M60" s="82"/>
      <c r="N60" s="23"/>
      <c r="O60" s="82">
        <f>'PFEF SRC'!W63</f>
        <v>0.68</v>
      </c>
      <c r="P60" s="82"/>
      <c r="Q60" s="23"/>
      <c r="R60" s="82">
        <f>'PFEF SRC'!AB63</f>
        <v>0.70533333333333326</v>
      </c>
      <c r="S60" s="82"/>
      <c r="T60" s="23"/>
      <c r="U60" s="40"/>
      <c r="V60" s="59"/>
      <c r="W60" s="30"/>
    </row>
    <row r="61" spans="1:25" s="17" customFormat="1">
      <c r="A61" s="89"/>
      <c r="C61" s="75"/>
      <c r="D61" s="34"/>
      <c r="E61" s="19"/>
      <c r="F61" s="75"/>
      <c r="G61" s="34"/>
      <c r="H61" s="19"/>
      <c r="I61" s="75"/>
      <c r="J61" s="34"/>
      <c r="K61" s="19"/>
      <c r="L61" s="75"/>
      <c r="M61" s="34"/>
      <c r="N61" s="19"/>
      <c r="O61" s="75"/>
      <c r="P61" s="34"/>
      <c r="Q61" s="19"/>
      <c r="R61" s="75"/>
      <c r="S61" s="34"/>
      <c r="T61" s="19"/>
      <c r="U61" s="39"/>
      <c r="V61" s="55"/>
      <c r="W61" s="30"/>
    </row>
    <row r="62" spans="1:25" s="17" customFormat="1">
      <c r="A62" s="89"/>
      <c r="C62" s="39"/>
      <c r="D62" s="34"/>
      <c r="E62" s="19"/>
      <c r="F62" s="39"/>
      <c r="G62" s="34"/>
      <c r="H62" s="19"/>
      <c r="I62" s="39"/>
      <c r="J62" s="34"/>
      <c r="K62" s="19"/>
      <c r="L62" s="39"/>
      <c r="M62" s="34"/>
      <c r="N62" s="19"/>
      <c r="O62" s="39"/>
      <c r="P62" s="34"/>
      <c r="Q62" s="19"/>
      <c r="R62" s="39"/>
      <c r="S62" s="34"/>
      <c r="T62" s="19"/>
      <c r="U62" s="39"/>
      <c r="V62" s="55"/>
      <c r="W62" s="30"/>
    </row>
    <row r="72" spans="1:24" s="55" customFormat="1" ht="0" hidden="1">
      <c r="A72"/>
      <c r="B72" s="37"/>
      <c r="C72" s="30"/>
      <c r="D72" s="36"/>
      <c r="E72" s="2"/>
      <c r="F72" s="38"/>
      <c r="G72" s="36"/>
      <c r="H72" s="2"/>
      <c r="I72" s="38"/>
      <c r="J72" s="36"/>
      <c r="K72" s="2"/>
      <c r="L72" s="38"/>
      <c r="M72" s="36"/>
      <c r="N72" s="2"/>
      <c r="O72" s="38"/>
      <c r="P72" s="36"/>
      <c r="Q72" s="2"/>
      <c r="R72" s="38"/>
      <c r="S72" s="36"/>
      <c r="T72" s="2"/>
      <c r="U72" s="38"/>
      <c r="W72" s="30"/>
      <c r="X72"/>
    </row>
    <row r="73" spans="1:24" s="30" customFormat="1" ht="0" hidden="1">
      <c r="A73" s="37"/>
      <c r="B73"/>
      <c r="C73" s="38"/>
      <c r="D73" s="36"/>
      <c r="E73" s="2"/>
      <c r="F73" s="38"/>
      <c r="G73" s="36"/>
      <c r="H73" s="2"/>
      <c r="I73" s="38"/>
      <c r="J73" s="36"/>
      <c r="K73" s="2"/>
      <c r="L73" s="38"/>
      <c r="M73" s="36"/>
      <c r="N73" s="2"/>
      <c r="O73" s="38"/>
      <c r="P73" s="36"/>
      <c r="Q73" s="2"/>
      <c r="R73" s="38"/>
      <c r="S73" s="36"/>
      <c r="T73" s="2"/>
      <c r="U73" s="38"/>
      <c r="V73" s="55"/>
      <c r="X73"/>
    </row>
    <row r="74" spans="1:24" ht="0" hidden="1">
      <c r="A74" s="37"/>
      <c r="B74" s="18"/>
    </row>
    <row r="75" spans="1:24" s="37" customFormat="1">
      <c r="A75" s="91"/>
      <c r="B75" s="18"/>
      <c r="C75" s="38"/>
      <c r="D75" s="36"/>
      <c r="E75" s="2"/>
      <c r="F75" s="38"/>
      <c r="G75" s="36"/>
      <c r="H75" s="2"/>
      <c r="I75" s="38"/>
      <c r="J75" s="36"/>
      <c r="K75" s="2"/>
      <c r="L75" s="38"/>
      <c r="M75" s="36"/>
      <c r="N75" s="2"/>
      <c r="O75" s="38"/>
      <c r="P75" s="36"/>
      <c r="Q75" s="2"/>
      <c r="R75" s="38"/>
      <c r="S75" s="36"/>
      <c r="T75" s="2"/>
      <c r="U75" s="38"/>
      <c r="V75" s="55"/>
      <c r="W75" s="30"/>
      <c r="X75"/>
    </row>
    <row r="76" spans="1:24" s="38" customFormat="1" ht="0" hidden="1">
      <c r="A76" s="30"/>
      <c r="B76"/>
      <c r="C76" s="37"/>
      <c r="D76" s="55"/>
      <c r="E76" s="2"/>
      <c r="G76" s="36"/>
      <c r="H76" s="2"/>
      <c r="J76" s="36"/>
      <c r="K76" s="2"/>
      <c r="M76" s="36"/>
      <c r="N76" s="2"/>
      <c r="P76" s="36"/>
      <c r="Q76" s="2"/>
      <c r="S76" s="36"/>
      <c r="T76" s="2"/>
      <c r="V76" s="55"/>
      <c r="W76" s="30"/>
      <c r="X76"/>
    </row>
  </sheetData>
  <mergeCells count="38">
    <mergeCell ref="A57:B57"/>
    <mergeCell ref="A58:B58"/>
    <mergeCell ref="A59:B59"/>
    <mergeCell ref="A60:B60"/>
    <mergeCell ref="A3:W3"/>
    <mergeCell ref="O59:P59"/>
    <mergeCell ref="O60:P60"/>
    <mergeCell ref="R57:S57"/>
    <mergeCell ref="R58:S58"/>
    <mergeCell ref="R59:S59"/>
    <mergeCell ref="R60:S60"/>
    <mergeCell ref="I59:J59"/>
    <mergeCell ref="I60:J60"/>
    <mergeCell ref="L57:M57"/>
    <mergeCell ref="L58:M58"/>
    <mergeCell ref="L59:M59"/>
    <mergeCell ref="L60:M60"/>
    <mergeCell ref="C59:D59"/>
    <mergeCell ref="C60:D60"/>
    <mergeCell ref="F57:G57"/>
    <mergeCell ref="F58:G58"/>
    <mergeCell ref="F59:G59"/>
    <mergeCell ref="F60:G60"/>
    <mergeCell ref="U4:U5"/>
    <mergeCell ref="A4:A5"/>
    <mergeCell ref="B4:B5"/>
    <mergeCell ref="C57:D57"/>
    <mergeCell ref="C58:D58"/>
    <mergeCell ref="I57:J57"/>
    <mergeCell ref="I58:J58"/>
    <mergeCell ref="O57:P57"/>
    <mergeCell ref="O58:P58"/>
    <mergeCell ref="C4:D4"/>
    <mergeCell ref="F4:G4"/>
    <mergeCell ref="I4:J4"/>
    <mergeCell ref="L4:M4"/>
    <mergeCell ref="O4:P4"/>
    <mergeCell ref="R4:S4"/>
  </mergeCells>
  <pageMargins left="0.25" right="0.25" top="0.75" bottom="0.75" header="0.3" footer="0.3"/>
  <pageSetup paperSize="9" scale="62" fitToHeight="0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X10"/>
  <sheetViews>
    <sheetView tabSelected="1" topLeftCell="A2" workbookViewId="0">
      <selection activeCell="F3" sqref="F3"/>
    </sheetView>
  </sheetViews>
  <sheetFormatPr defaultRowHeight="14.4"/>
  <cols>
    <col min="1" max="1" width="9.77734375" style="91" customWidth="1"/>
    <col min="2" max="2" width="22.88671875" customWidth="1"/>
    <col min="3" max="3" width="7.77734375" style="38" customWidth="1"/>
    <col min="4" max="4" width="7.77734375" style="36" customWidth="1"/>
    <col min="5" max="5" width="1.88671875" style="2" customWidth="1"/>
    <col min="6" max="6" width="7.77734375" style="38" customWidth="1"/>
    <col min="7" max="7" width="7.77734375" style="36" customWidth="1"/>
    <col min="8" max="8" width="1.88671875" style="2" customWidth="1"/>
    <col min="9" max="9" width="7.77734375" style="38" customWidth="1"/>
    <col min="10" max="10" width="7.77734375" style="36" customWidth="1"/>
    <col min="11" max="11" width="1.88671875" style="2" customWidth="1"/>
    <col min="12" max="12" width="7.77734375" style="38" customWidth="1"/>
    <col min="13" max="13" width="7.77734375" style="36" customWidth="1"/>
    <col min="14" max="14" width="1.88671875" style="2" customWidth="1"/>
    <col min="15" max="15" width="7.77734375" style="38" customWidth="1"/>
    <col min="16" max="16" width="7.77734375" style="36" customWidth="1"/>
    <col min="17" max="17" width="1.88671875" style="2" customWidth="1"/>
    <col min="18" max="18" width="7.77734375" style="38" customWidth="1"/>
    <col min="19" max="19" width="7.77734375" style="36" customWidth="1"/>
    <col min="20" max="20" width="1.88671875" style="2" customWidth="1"/>
    <col min="21" max="21" width="8.5546875" style="38" customWidth="1"/>
    <col min="22" max="22" width="7" style="55" customWidth="1"/>
    <col min="23" max="23" width="4.6640625" style="30" customWidth="1"/>
  </cols>
  <sheetData>
    <row r="1" spans="1:24" ht="18">
      <c r="A1" s="87" t="s">
        <v>110</v>
      </c>
    </row>
    <row r="2" spans="1:24" ht="18">
      <c r="A2" s="87"/>
    </row>
    <row r="3" spans="1:24">
      <c r="A3" s="98" t="s">
        <v>120</v>
      </c>
    </row>
    <row r="6" spans="1:24" s="37" customFormat="1">
      <c r="A6" s="91"/>
      <c r="B6" s="18"/>
      <c r="C6" s="38"/>
      <c r="D6" s="36"/>
      <c r="E6" s="2"/>
      <c r="F6" s="38"/>
      <c r="G6" s="36"/>
      <c r="H6" s="2"/>
      <c r="I6" s="38"/>
      <c r="J6" s="36"/>
      <c r="K6" s="2"/>
      <c r="L6" s="38"/>
      <c r="M6" s="36"/>
      <c r="N6" s="2"/>
      <c r="O6" s="38"/>
      <c r="P6" s="36"/>
      <c r="Q6" s="2"/>
      <c r="R6" s="38"/>
      <c r="S6" s="36"/>
      <c r="T6" s="2"/>
      <c r="U6" s="38"/>
      <c r="V6" s="55"/>
      <c r="W6" s="30"/>
      <c r="X6"/>
    </row>
    <row r="7" spans="1:24" s="37" customFormat="1">
      <c r="A7" s="91"/>
      <c r="B7" s="18"/>
      <c r="C7" s="38"/>
      <c r="D7" s="36"/>
      <c r="E7" s="2"/>
      <c r="F7" s="38"/>
      <c r="G7" s="36"/>
      <c r="H7" s="2"/>
      <c r="I7" s="38"/>
      <c r="J7" s="36"/>
      <c r="K7" s="2"/>
      <c r="L7" s="38"/>
      <c r="M7" s="36"/>
      <c r="N7" s="2"/>
      <c r="O7" s="38"/>
      <c r="P7" s="36"/>
      <c r="Q7" s="2"/>
      <c r="R7" s="38"/>
      <c r="S7" s="36"/>
      <c r="T7" s="2"/>
      <c r="U7" s="38"/>
      <c r="V7" s="55"/>
      <c r="W7" s="30"/>
      <c r="X7"/>
    </row>
    <row r="8" spans="1:24" s="37" customFormat="1">
      <c r="A8" s="91"/>
      <c r="B8" s="18"/>
      <c r="C8" s="38"/>
      <c r="D8" s="36"/>
      <c r="E8" s="2"/>
      <c r="F8" s="38"/>
      <c r="G8" s="36"/>
      <c r="H8" s="2"/>
      <c r="I8" s="38"/>
      <c r="J8" s="36"/>
      <c r="K8" s="2"/>
      <c r="L8" s="38"/>
      <c r="M8" s="36"/>
      <c r="N8" s="2"/>
      <c r="O8" s="38"/>
      <c r="P8" s="36"/>
      <c r="Q8" s="2"/>
      <c r="R8" s="38"/>
      <c r="S8" s="36"/>
      <c r="T8" s="2"/>
      <c r="U8" s="38"/>
      <c r="V8" s="55"/>
      <c r="W8" s="30"/>
      <c r="X8"/>
    </row>
    <row r="9" spans="1:24" s="37" customFormat="1">
      <c r="A9" s="91"/>
      <c r="B9" s="18"/>
      <c r="C9" s="38"/>
      <c r="D9" s="36"/>
      <c r="E9" s="2"/>
      <c r="F9" s="38"/>
      <c r="G9" s="36"/>
      <c r="H9" s="2"/>
      <c r="I9" s="38"/>
      <c r="J9" s="36"/>
      <c r="K9" s="2"/>
      <c r="L9" s="38"/>
      <c r="M9" s="36"/>
      <c r="N9" s="2"/>
      <c r="O9" s="38"/>
      <c r="P9" s="36"/>
      <c r="Q9" s="2"/>
      <c r="R9" s="38"/>
      <c r="S9" s="36"/>
      <c r="T9" s="2"/>
      <c r="U9" s="38"/>
      <c r="V9" s="55"/>
      <c r="W9" s="30"/>
      <c r="X9"/>
    </row>
    <row r="10" spans="1:24" s="37" customFormat="1">
      <c r="A10" s="91"/>
      <c r="B10" s="18"/>
      <c r="C10" s="38"/>
      <c r="D10" s="36"/>
      <c r="E10" s="2"/>
      <c r="F10" s="38"/>
      <c r="G10" s="36"/>
      <c r="H10" s="2"/>
      <c r="I10" s="38"/>
      <c r="J10" s="36"/>
      <c r="K10" s="2"/>
      <c r="L10" s="38"/>
      <c r="M10" s="36"/>
      <c r="N10" s="2"/>
      <c r="O10" s="38"/>
      <c r="P10" s="36"/>
      <c r="Q10" s="2"/>
      <c r="R10" s="38"/>
      <c r="S10" s="36"/>
      <c r="T10" s="2"/>
      <c r="U10" s="38"/>
      <c r="V10" s="55"/>
      <c r="W10" s="30"/>
      <c r="X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15</vt:i4>
      </vt:variant>
    </vt:vector>
  </HeadingPairs>
  <TitlesOfParts>
    <vt:vector size="21" baseType="lpstr">
      <vt:lpstr>POCMA</vt:lpstr>
      <vt:lpstr>CKFCMA</vt:lpstr>
      <vt:lpstr>POCMA TS</vt:lpstr>
      <vt:lpstr>PFEF SRC</vt:lpstr>
      <vt:lpstr>PFEF T</vt:lpstr>
      <vt:lpstr>PFEF C</vt:lpstr>
      <vt:lpstr>'PFEF T'!ADAM_ALL</vt:lpstr>
      <vt:lpstr>ADAM_ALL</vt:lpstr>
      <vt:lpstr>ALLALL_CK</vt:lpstr>
      <vt:lpstr>ALLALL_PERC</vt:lpstr>
      <vt:lpstr>'PFEF T'!KENTON_ALL</vt:lpstr>
      <vt:lpstr>KENTON_ALL</vt:lpstr>
      <vt:lpstr>'PFEF T'!PERSONA_MODEL_LIST</vt:lpstr>
      <vt:lpstr>PERSONA_MODEL_LIST</vt:lpstr>
      <vt:lpstr>'PFEF T'!pfef_vanilla_mode1_01</vt:lpstr>
      <vt:lpstr>pfef_vanilla_mode1_01</vt:lpstr>
      <vt:lpstr>CKFCMA!Print_Area</vt:lpstr>
      <vt:lpstr>'PFEF T'!Print_Area</vt:lpstr>
      <vt:lpstr>POCMA!Print_Area</vt:lpstr>
      <vt:lpstr>'PFEF T'!SUSAN_ALL</vt:lpstr>
      <vt:lpstr>SUSAN_ALL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Goddard</dc:creator>
  <cp:lastModifiedBy>David Goddard</cp:lastModifiedBy>
  <cp:lastPrinted>2025-01-08T17:13:52Z</cp:lastPrinted>
  <dcterms:created xsi:type="dcterms:W3CDTF">2025-01-07T19:31:05Z</dcterms:created>
  <dcterms:modified xsi:type="dcterms:W3CDTF">2025-01-08T17:50:55Z</dcterms:modified>
</cp:coreProperties>
</file>