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tenna Selector" sheetId="1" r:id="rId3"/>
    <sheet state="visible" name="NFEx (Reflectors) Calculator" sheetId="2" r:id="rId4"/>
    <sheet state="visible" name="Antennas" sheetId="3" r:id="rId5"/>
    <sheet state="visible" name="System Stats" sheetId="4" r:id="rId6"/>
    <sheet state="visible" name="Form Responses" sheetId="5" r:id="rId7"/>
  </sheets>
  <definedNames/>
  <calcPr/>
</workbook>
</file>

<file path=xl/sharedStrings.xml><?xml version="1.0" encoding="utf-8"?>
<sst xmlns="http://schemas.openxmlformats.org/spreadsheetml/2006/main" count="895" uniqueCount="369">
  <si>
    <t>Antenna Selector</t>
  </si>
  <si>
    <t>- Please gain editing permissions to use this calculator by saving a copy to your own Google account by clicking:</t>
  </si>
  <si>
    <t xml:space="preserve">"File &gt; Make a copy..." </t>
  </si>
  <si>
    <t>Difficulty Settings</t>
  </si>
  <si>
    <t>Direct</t>
  </si>
  <si>
    <t>Main</t>
  </si>
  <si>
    <t>Max Antenna Range Between Points (m)</t>
  </si>
  <si>
    <t>Signal Strength At Specified Range</t>
  </si>
  <si>
    <t>Range Modifier</t>
  </si>
  <si>
    <t>DSN Modifier</t>
  </si>
  <si>
    <t>System Rescale Factor</t>
  </si>
  <si>
    <t>Relay</t>
  </si>
  <si>
    <t>Control Point 1</t>
  </si>
  <si>
    <t>Total Power of CP1</t>
  </si>
  <si>
    <t>Control Point 2</t>
  </si>
  <si>
    <t>Total Power of CP2</t>
  </si>
  <si>
    <t>Direct Max</t>
  </si>
  <si>
    <t>Direct Min</t>
  </si>
  <si>
    <t>Relay Max</t>
  </si>
  <si>
    <t>Relay Min</t>
  </si>
  <si>
    <t>Targeted Selection</t>
  </si>
  <si>
    <t>Direct Mode:</t>
  </si>
  <si>
    <t>Kerbin -&gt; Moho</t>
  </si>
  <si>
    <t>Moho</t>
  </si>
  <si>
    <t>Relay Mode:</t>
  </si>
  <si>
    <t>Kerbin -&gt; Eve</t>
  </si>
  <si>
    <t>Eve</t>
  </si>
  <si>
    <t>Choose antennas from Drop Down lists</t>
  </si>
  <si>
    <t>Kerbin -&gt; - Gilly</t>
  </si>
  <si>
    <t>Antenna</t>
  </si>
  <si>
    <t>Power</t>
  </si>
  <si>
    <t>Comb. Exp.</t>
  </si>
  <si>
    <t>Enter Required Range (m):</t>
  </si>
  <si>
    <t>Kerbin -&gt; - Mun</t>
  </si>
  <si>
    <t>Mun</t>
  </si>
  <si>
    <t>Deep Space Network 2</t>
  </si>
  <si>
    <t>Communotron HG-55</t>
  </si>
  <si>
    <t>Example Distance Presets (max distances):</t>
  </si>
  <si>
    <t>Kerbin -&gt; - Minmus</t>
  </si>
  <si>
    <t>Minmus</t>
  </si>
  <si>
    <t>RA-15 Relay Antenna</t>
  </si>
  <si>
    <t>Kerbin -&gt; Duna</t>
  </si>
  <si>
    <t>Duna</t>
  </si>
  <si>
    <t>Direct Sig. Strength at Max Dist.</t>
  </si>
  <si>
    <t>Direct Sig. Strength at Min Dist.</t>
  </si>
  <si>
    <t>Relay Sig. Strength at Max Dist.</t>
  </si>
  <si>
    <t>Relay Sig. Strength at Min Dist.</t>
  </si>
  <si>
    <t>Kerbin -&gt; - Ike</t>
  </si>
  <si>
    <t>Kerbin -&gt; Dres</t>
  </si>
  <si>
    <t>Dres</t>
  </si>
  <si>
    <t>From:</t>
  </si>
  <si>
    <t>To:</t>
  </si>
  <si>
    <t>Kerbin -&gt; Jool</t>
  </si>
  <si>
    <t>Jool</t>
  </si>
  <si>
    <t>Kerbin</t>
  </si>
  <si>
    <t>Kerbin -&gt; - Laythe</t>
  </si>
  <si>
    <t>Can I reach these systems from Kerbin?</t>
  </si>
  <si>
    <t>Kerbin -&gt; - Vall</t>
  </si>
  <si>
    <t>Kerbin -&gt; - Tylo</t>
  </si>
  <si>
    <t>Kerbin -&gt; - Bop</t>
  </si>
  <si>
    <t>Kerbin -&gt; - Pol</t>
  </si>
  <si>
    <t>Kerbin -&gt; Stock Eeloo</t>
  </si>
  <si>
    <t>Stock Eeloo</t>
  </si>
  <si>
    <t>Kerbin -&gt; Sarnus</t>
  </si>
  <si>
    <t>Sarnus</t>
  </si>
  <si>
    <t>Kerbin -&gt; - Hale</t>
  </si>
  <si>
    <t>Kerbin -&gt; - Ovok</t>
  </si>
  <si>
    <t>Kerbin -&gt; - OPM Eeloo</t>
  </si>
  <si>
    <t>Kerbin -&gt; - Slate</t>
  </si>
  <si>
    <t>Kerbin -&gt; - Tekto</t>
  </si>
  <si>
    <t>Urlum</t>
  </si>
  <si>
    <t>Kerbin -&gt; Urlum</t>
  </si>
  <si>
    <t>Neidon</t>
  </si>
  <si>
    <t>Kerbin -&gt; - Polta</t>
  </si>
  <si>
    <t>Plock</t>
  </si>
  <si>
    <t>Kerbin -&gt; - Priax</t>
  </si>
  <si>
    <t>To remove an antenna from the list, please delete the cell contents</t>
  </si>
  <si>
    <t>- if you find an error in the Spreadsheet, please inform me</t>
  </si>
  <si>
    <t>Tutorial - How to Use</t>
  </si>
  <si>
    <t>Kerbin -&gt; - Wal</t>
  </si>
  <si>
    <t>immediately using the link to the KSP Forum thread below (A39) and explain how the issue occurred if possible. Thank you.</t>
  </si>
  <si>
    <t>Kerbin -&gt; -- Tal</t>
  </si>
  <si>
    <t>Please Note</t>
  </si>
  <si>
    <t xml:space="preserve">1. Set the range you require to connect through by entering the distance in Cell 'K8'. You can use the Presets drop-down </t>
  </si>
  <si>
    <t>Kerbin -&gt; Neidon</t>
  </si>
  <si>
    <t>- Only 1 DSN station should be entered with no additional antennas listed for that control point if determining a link back to Kerbin,</t>
  </si>
  <si>
    <t xml:space="preserve">    to give you the max distance between Kerbin and a specific body if it helps you to do so. </t>
  </si>
  <si>
    <t>Kerbin -&gt; - Thatmo</t>
  </si>
  <si>
    <t>- The Communotron 16S and Command Module Built-in antennas are not combinable and therefore should only be used as a 'one-of'</t>
  </si>
  <si>
    <t>Kerbin -&gt; - Nissee</t>
  </si>
  <si>
    <t xml:space="preserve">  by itself in any Control Point list.</t>
  </si>
  <si>
    <t xml:space="preserve">2. Enter the antennas on your Control Point 1. Either being a single DSN point if you're connecting directly to </t>
  </si>
  <si>
    <t>Kerbin -&gt; Plock</t>
  </si>
  <si>
    <t>- You can toggle your installed Mod Packs on/off on the 'Antennas' sheet.</t>
  </si>
  <si>
    <t xml:space="preserve">    Kerbin or the antennas on your end point vessel.</t>
  </si>
  <si>
    <t>Kerbin -&gt; - Karen</t>
  </si>
  <si>
    <t>- To improve your understanding of how CommNet works, please visit:</t>
  </si>
  <si>
    <t xml:space="preserve">3. Enter the antennas on your other vessel for Control Point 2 and the spreadsheet should dynamically update to give </t>
  </si>
  <si>
    <t>Contact Me:</t>
  </si>
  <si>
    <t xml:space="preserve"> If you have any queries, questions or requests, please contact me via the KSP Forum thread at:</t>
  </si>
  <si>
    <t xml:space="preserve">    you at Signal Strength achieved at your specfied range. There are the common bodies listed below above that will</t>
  </si>
  <si>
    <t>CP1 Calcs</t>
  </si>
  <si>
    <t>CP2 Calcs</t>
  </si>
  <si>
    <t>https://goo.gl/onUiXK</t>
  </si>
  <si>
    <t>Much thanks - Poodmund</t>
  </si>
  <si>
    <t xml:space="preserve">    also dynamically update to give you a visual representation of the strength of your connection if that system is required.</t>
  </si>
  <si>
    <t xml:space="preserve">Direct </t>
  </si>
  <si>
    <t>Near Future: Exploration Reflectors Calculator</t>
  </si>
  <si>
    <t>Targetted Selection</t>
  </si>
  <si>
    <t>Please change the above modifiers</t>
  </si>
  <si>
    <t>on the 'Antenna Selector' sheet.</t>
  </si>
  <si>
    <t>Reflector (if used)</t>
  </si>
  <si>
    <t>Feed Scale</t>
  </si>
  <si>
    <t>F-RA Relay Antenna Feed</t>
  </si>
  <si>
    <t>RFL-2 Medium Dish Reflector</t>
  </si>
  <si>
    <t>D-50 Large Spot Antenna</t>
  </si>
  <si>
    <t>RA-X3 Phased Relay Antenna</t>
  </si>
  <si>
    <t>RFL-1 Dish Reflector</t>
  </si>
  <si>
    <t xml:space="preserve">2. Enter the antennas required at your first control point. Either being a single DSN point if you're connecting directly to </t>
  </si>
  <si>
    <t>3. If you're directing an antenna at a 'Near Future: Exploration' Reflector dish, please enter the relevant Reflector in the</t>
  </si>
  <si>
    <t xml:space="preserve">4. Enter the antennas on your other vessel for Control Point 2 and the spreadsheet should dynamically update to give </t>
  </si>
  <si>
    <t>Antenna List</t>
  </si>
  <si>
    <t>To view suitable antennas for your mission, please view the 'Antenna Selector' sheet.</t>
  </si>
  <si>
    <t>To submit Antenna information for inclusion, please use this form:</t>
  </si>
  <si>
    <t>https://goo.gl/reURyb</t>
  </si>
  <si>
    <t>Science Transmission</t>
  </si>
  <si>
    <t>Toggle On/Off Your Antenna Packs In Use</t>
  </si>
  <si>
    <t>Antenna Pack</t>
  </si>
  <si>
    <t>Pretty Name</t>
  </si>
  <si>
    <t>Part Name</t>
  </si>
  <si>
    <t>Cost</t>
  </si>
  <si>
    <t>Mass</t>
  </si>
  <si>
    <t>Tech Level</t>
  </si>
  <si>
    <t>Antenna Type</t>
  </si>
  <si>
    <t>Physical Type</t>
  </si>
  <si>
    <t>Feed Scale (NF:Ex)</t>
  </si>
  <si>
    <t>Combinability Exponent</t>
  </si>
  <si>
    <t>EC/s When Transmitting</t>
  </si>
  <si>
    <t>packetInterval</t>
  </si>
  <si>
    <t>packetSize</t>
  </si>
  <si>
    <t>packetResourceCost</t>
  </si>
  <si>
    <t>✔</t>
  </si>
  <si>
    <t>SQUAD</t>
  </si>
  <si>
    <t>Deep Space Network 1</t>
  </si>
  <si>
    <t>DSN</t>
  </si>
  <si>
    <t>✖</t>
  </si>
  <si>
    <t>Deep Space Network 3</t>
  </si>
  <si>
    <t>Deep Space Network 4 - OPM</t>
  </si>
  <si>
    <t>Command Module Built-in</t>
  </si>
  <si>
    <t>Varies</t>
  </si>
  <si>
    <t>Internal</t>
  </si>
  <si>
    <t>Fixed</t>
  </si>
  <si>
    <t>Communotron 16</t>
  </si>
  <si>
    <t>longAntenna</t>
  </si>
  <si>
    <t>Deployable</t>
  </si>
  <si>
    <t>Near Future Exploration</t>
  </si>
  <si>
    <t>Communotron 16S</t>
  </si>
  <si>
    <t>SurfAntenna</t>
  </si>
  <si>
    <t>Communotron DTS-M1</t>
  </si>
  <si>
    <t>mediumDishAntenna</t>
  </si>
  <si>
    <t>HighGainAntenna</t>
  </si>
  <si>
    <t>Communotron 88-88</t>
  </si>
  <si>
    <t>commDish</t>
  </si>
  <si>
    <t>HG-5 High Gain Antenna</t>
  </si>
  <si>
    <t>HighGainAntenna5</t>
  </si>
  <si>
    <t>RA-2 Relay Antenna</t>
  </si>
  <si>
    <t>RelayAntenna5</t>
  </si>
  <si>
    <t>RelayAntenna50</t>
  </si>
  <si>
    <t>RA-100 Relay Antenna</t>
  </si>
  <si>
    <t>RelayAntenna100</t>
  </si>
  <si>
    <t>ReStock Plus</t>
  </si>
  <si>
    <t>HG-20 High Gain Antenna - ReStock Plus</t>
  </si>
  <si>
    <t>restock-relay-radial-2</t>
  </si>
  <si>
    <t>Communotron DTS-J1</t>
  </si>
  <si>
    <t>restock-antenna-stack-2</t>
  </si>
  <si>
    <t>Communotron HG-61</t>
  </si>
  <si>
    <t>restock-antenna-stack-3</t>
  </si>
  <si>
    <t>CommNet Antennas Extension</t>
  </si>
  <si>
    <t>C2 Communotron EXP-VR-2T</t>
  </si>
  <si>
    <t>RTLongAntenna3</t>
  </si>
  <si>
    <t>C2+ High Gain Antenna HG-32</t>
  </si>
  <si>
    <t>caeDeployableAntenna</t>
  </si>
  <si>
    <t>C3+ Relay Antenna RA-7</t>
  </si>
  <si>
    <t>RTShortDish2</t>
  </si>
  <si>
    <t>C4+ Relay Antenna RA-25</t>
  </si>
  <si>
    <t>RTLongDish2</t>
  </si>
  <si>
    <t>C5+ Communotron "Tigger"</t>
  </si>
  <si>
    <t>RTGigaDish1</t>
  </si>
  <si>
    <t>C5+ RelayTech One</t>
  </si>
  <si>
    <t>RTGigaDish2</t>
  </si>
  <si>
    <t>DMagic</t>
  </si>
  <si>
    <t>Undersize Signals Intelligence Satellite</t>
  </si>
  <si>
    <t>dmSIGINT.Small</t>
  </si>
  <si>
    <t>Oversize Signals Intelligence Satellite</t>
  </si>
  <si>
    <t>dmSIGINT</t>
  </si>
  <si>
    <t>n/a</t>
  </si>
  <si>
    <t>Vens S' R'</t>
  </si>
  <si>
    <t>HG-20 High Gain Antenna - Vens S' R'</t>
  </si>
  <si>
    <t>LongDeployableAntenna</t>
  </si>
  <si>
    <t>JX2Antenna</t>
  </si>
  <si>
    <t>JU1 Medium Deployable Antenna</t>
  </si>
  <si>
    <t>ju1MDA</t>
  </si>
  <si>
    <t>JW1 Medium Deployable Antenna</t>
  </si>
  <si>
    <t>jw1MDA</t>
  </si>
  <si>
    <t>JX2 Large Deployable Antenna</t>
  </si>
  <si>
    <t>jx2LDA</t>
  </si>
  <si>
    <t>ProbesPlus</t>
  </si>
  <si>
    <t>CA-KPS KerbNet Position System Antenna</t>
  </si>
  <si>
    <t>ca_ant_gps</t>
  </si>
  <si>
    <t>CA-A01 Ground Plane Antenna</t>
  </si>
  <si>
    <t>antenna_tv</t>
  </si>
  <si>
    <t>CA-A06 Quetzal Omni Antenna</t>
  </si>
  <si>
    <t>antenna_quetzal</t>
  </si>
  <si>
    <t>CA-A07 Landvermesser Omni Antenna</t>
  </si>
  <si>
    <t>ca_landv_omni</t>
  </si>
  <si>
    <t>CA-A02 Conic Antenna</t>
  </si>
  <si>
    <t>antenna_cone_toggle</t>
  </si>
  <si>
    <t>CA-AE20 HGA Antenna and Solar Panel</t>
  </si>
  <si>
    <t>ca_landv_hga</t>
  </si>
  <si>
    <t>CA-AD1-R Small Folding Relay Antenna</t>
  </si>
  <si>
    <t>dish_deploy_S2</t>
  </si>
  <si>
    <t>CA-A10 Small Folding Relay Antenna</t>
  </si>
  <si>
    <t>dish_deploy_S</t>
  </si>
  <si>
    <t>CA-D02 Medium Folding Relay Antenna</t>
  </si>
  <si>
    <t>dish_xihe</t>
  </si>
  <si>
    <t>CA-A100 Small Dish Antenna</t>
  </si>
  <si>
    <t>dish_S</t>
  </si>
  <si>
    <t>CA-A180 Tatsujin Relay Antenna</t>
  </si>
  <si>
    <t>dish_tatsujin</t>
  </si>
  <si>
    <t>CA-A190 Hera Dish Antenna</t>
  </si>
  <si>
    <t>dish_hera</t>
  </si>
  <si>
    <t>CA-A200 Quetzal Relay Antenna</t>
  </si>
  <si>
    <t>dish_quetzal</t>
  </si>
  <si>
    <t>CA-A300 Torekka Relay Antenna</t>
  </si>
  <si>
    <t>dish_L</t>
  </si>
  <si>
    <t>F-DA Direct Antenna Feed</t>
  </si>
  <si>
    <t>nfex-antenna-feeder-direct-1</t>
  </si>
  <si>
    <t>AX-4 Pointable Helical Antenna</t>
  </si>
  <si>
    <t>nfex-antenna-rover-1</t>
  </si>
  <si>
    <t>PH-1 Phased Array Antenna Element</t>
  </si>
  <si>
    <t>nfex-antenna-phased-single-1</t>
  </si>
  <si>
    <t>AX-5 Aerial Micro-Antenna</t>
  </si>
  <si>
    <t>nfex-antenna-rover-2</t>
  </si>
  <si>
    <t>PH-2 Phased Array Antenna Element</t>
  </si>
  <si>
    <t>nfex-antenna-phased-single-2</t>
  </si>
  <si>
    <t>AX-30 High Gain Micro-Antenna</t>
  </si>
  <si>
    <t>nfex-antenna-rover-3</t>
  </si>
  <si>
    <t>DR-1 High Gain Antenna</t>
  </si>
  <si>
    <t>nfex-antenna-static-mini-1</t>
  </si>
  <si>
    <t>DR-3 Deployable High Gain Antenna</t>
  </si>
  <si>
    <t>nfex-antenna-deploy-wv3-1</t>
  </si>
  <si>
    <t>PH-3 Phased Array Antenna Element</t>
  </si>
  <si>
    <t>nfex-antenna-phased-single-3</t>
  </si>
  <si>
    <t>D-2 Spot Antenna</t>
  </si>
  <si>
    <t>nfex-antenna-top-dish-1</t>
  </si>
  <si>
    <t>nfex-antenna-top-dish-2</t>
  </si>
  <si>
    <t>nfex-antenna-feeder-relay-1</t>
  </si>
  <si>
    <t>RA-00-2 Micro-Relay Antenna</t>
  </si>
  <si>
    <t>nfex-antenna-relay-tiny-1</t>
  </si>
  <si>
    <t>RA-X1 Phased Relay Antenna</t>
  </si>
  <si>
    <t>nfex-antenna-phased-array-1</t>
  </si>
  <si>
    <t>RA-X2 Phased Relay Antenna</t>
  </si>
  <si>
    <t>nfex-antenna-phased-array-2</t>
  </si>
  <si>
    <t>RA-0-8 Relay Antenna</t>
  </si>
  <si>
    <t>nfex-antenna-relay-tdrs-1</t>
  </si>
  <si>
    <t>nfex-antenna-phased-array-3</t>
  </si>
  <si>
    <t>RA-5B Advanced Relay Antenna</t>
  </si>
  <si>
    <t>nfex-antenna-relay-tdrs-2</t>
  </si>
  <si>
    <t>nfex-antenna-reflector-side-1</t>
  </si>
  <si>
    <t>Reflector</t>
  </si>
  <si>
    <t>nfex-antenna-reflector-side-2</t>
  </si>
  <si>
    <t>RFL-3 Dish Reflector Array</t>
  </si>
  <si>
    <t>nfex-antenna-reflector-side-3</t>
  </si>
  <si>
    <t>RFL-50 Large Dish Reflector</t>
  </si>
  <si>
    <t>nfex-antenna-reflector-large-1</t>
  </si>
  <si>
    <t>RFL-100 Giant Dish Reflector</t>
  </si>
  <si>
    <t>nfex-antenna-reflector-huge-1</t>
  </si>
  <si>
    <t>RFL-2000 Dish Reflector Array</t>
  </si>
  <si>
    <t>nfex-antenna-reflector-giant-1</t>
  </si>
  <si>
    <t>System Rescale Factor:</t>
  </si>
  <si>
    <t>&lt;- Do not edit this value, use 'Antenna Selector'!Q5</t>
  </si>
  <si>
    <t>Stock</t>
  </si>
  <si>
    <t>Simulated Over the First 10,000 Years in KSP</t>
  </si>
  <si>
    <t>Periapsis</t>
  </si>
  <si>
    <t>Semi-major axis</t>
  </si>
  <si>
    <t>Apoapsis</t>
  </si>
  <si>
    <t>Min Distance from Kerbin</t>
  </si>
  <si>
    <t>Max Distance from Kerbin</t>
  </si>
  <si>
    <t>Max Distance from Parent Planet</t>
  </si>
  <si>
    <t>Eccentricity</t>
  </si>
  <si>
    <t>Inc. (Deg)</t>
  </si>
  <si>
    <t>Inc. (Rad)</t>
  </si>
  <si>
    <t>Arg. of Ap (Deg)</t>
  </si>
  <si>
    <t>Arg. of Pe (Rad)</t>
  </si>
  <si>
    <t>Greatest Distance from x,y Plane at Ap</t>
  </si>
  <si>
    <t>Gilly</t>
  </si>
  <si>
    <t>Ike</t>
  </si>
  <si>
    <t>Laythe</t>
  </si>
  <si>
    <t>Vall</t>
  </si>
  <si>
    <t>Tylo</t>
  </si>
  <si>
    <t>Bop</t>
  </si>
  <si>
    <t>Pol</t>
  </si>
  <si>
    <t>Eeloo</t>
  </si>
  <si>
    <t>OPM</t>
  </si>
  <si>
    <t>Arg. of Pe (Deg)</t>
  </si>
  <si>
    <t>Hale</t>
  </si>
  <si>
    <t>Ovok</t>
  </si>
  <si>
    <t>Slate</t>
  </si>
  <si>
    <t>Tekto</t>
  </si>
  <si>
    <t>Polta</t>
  </si>
  <si>
    <t>Priax</t>
  </si>
  <si>
    <t>Wal</t>
  </si>
  <si>
    <t>Tal</t>
  </si>
  <si>
    <t>Thatmo</t>
  </si>
  <si>
    <t>Nissee</t>
  </si>
  <si>
    <t>Karen</t>
  </si>
  <si>
    <t>Max Separation Distance in First 10,000 Years of KSP (m) (Stock Scale)</t>
  </si>
  <si>
    <t>Min Separation Distance in First 10,000 Years of KSP (m) (Stock Scale)</t>
  </si>
  <si>
    <t>Timestamp</t>
  </si>
  <si>
    <t xml:space="preserve">Mod Name </t>
  </si>
  <si>
    <t xml:space="preserve">Pretty Name - Title </t>
  </si>
  <si>
    <t xml:space="preserve">Part Name - Part Reference </t>
  </si>
  <si>
    <t xml:space="preserve">Cost </t>
  </si>
  <si>
    <t>Power ("xE+y" format if possible, please)</t>
  </si>
  <si>
    <t xml:space="preserve">References - Links to .cfg files etc. </t>
  </si>
  <si>
    <t>OctoSat</t>
  </si>
  <si>
    <t>OctoSat Core Guidance Module</t>
  </si>
  <si>
    <t>OctoSat_Com_Core</t>
  </si>
  <si>
    <t>https://github.com/linuxgurugamer/NSS/blob/master/GameData/NSS/Parts/OctoSat_Com_Core.cfg</t>
  </si>
  <si>
    <t>OctoSat Compact Guidance Unit</t>
  </si>
  <si>
    <t>OctoSat_Com_HalfTop</t>
  </si>
  <si>
    <t>https://github.com/linuxgurugamer/NSS/blob/master/GameData/NSS/Parts/OctoSat_Com_HalfTop.cfg</t>
  </si>
  <si>
    <t>OctoSat Side Guidance Module</t>
  </si>
  <si>
    <t>OctoSat_Com_Side</t>
  </si>
  <si>
    <t>https://github.com/linuxgurugamer/NSS/blob/master/GameData/NSS/Parts/OctoSat_Com_Side.cfg</t>
  </si>
  <si>
    <t>OctoSat Side Dish (Direct)</t>
  </si>
  <si>
    <t>OctoSat_Sc_SideDish</t>
  </si>
  <si>
    <t>OctoSat Side Dish (Relay)</t>
  </si>
  <si>
    <t>OctoSat Gargantuan Dish (Direct)</t>
  </si>
  <si>
    <t>OctoSat_Sc_TopDish</t>
  </si>
  <si>
    <t>https://github.com/linuxgurugamer/NSS/blob/master/GameData/NSS/Parts/OctoSat_Sc_TopDish.cfg</t>
  </si>
  <si>
    <t>OctoSat Gargantuan Dish (Relay)</t>
  </si>
  <si>
    <t>KSPI-E</t>
  </si>
  <si>
    <t>Multi Bandwidth Dish Transceiver (Shielded)</t>
  </si>
  <si>
    <t>MicrowaveRectenna2</t>
  </si>
  <si>
    <t>WarpPlugin\Parts\Microwave\MicrowaveRectenna\MicrowaveRectenna.cfg</t>
  </si>
  <si>
    <t>Extended Antenna Progression</t>
  </si>
  <si>
    <t>Deep Space Network 4</t>
  </si>
  <si>
    <t>N/A</t>
  </si>
  <si>
    <t>https://github.com/LouisB3/KSP-ExtendedAntennaProgression/blob/master/GameData/ExtendedAntennaProgression/ExtendedTrackingStation.cfg</t>
  </si>
  <si>
    <t>Deep Space Network 5</t>
  </si>
  <si>
    <t>Deep Space Network 6</t>
  </si>
  <si>
    <t>HG-5B High Gain Antenna</t>
  </si>
  <si>
    <t>RelayAntennaMicro</t>
  </si>
  <si>
    <t>https://github.com/LouisB3/KSP-ExtendedAntennaProgression/blob/master/GameData/ExtendedAntennaProgression/MiniAntenna.cfg</t>
  </si>
  <si>
    <t>RA-500 Relay Antenna</t>
  </si>
  <si>
    <t>RelayAntenna500</t>
  </si>
  <si>
    <t>https://github.com/LouisB3/KSP-ExtendedAntennaProgression/blob/master/GameData/ExtendedAntennaProgression/BigAntennas.cfg</t>
  </si>
  <si>
    <t>RA-2500 Relay Antenna</t>
  </si>
  <si>
    <t>RelayAntenna2500</t>
  </si>
  <si>
    <t>RA-12500 Relay Antenna</t>
  </si>
  <si>
    <t>RelayAntenna12500</t>
  </si>
  <si>
    <t>RA-500 Relay Antenna (Compact)</t>
  </si>
  <si>
    <t>RelayAntenna500Deployable</t>
  </si>
  <si>
    <t>https://github.com/LouisB3/KSP-ExtendedAntennaProgression/blob/master/Extras/BigAntennasAlternate.cfg</t>
  </si>
  <si>
    <t xml:space="preserve">RA-2500 Relay Antenna (Compact) </t>
  </si>
  <si>
    <t>RelayAntenna2500Deployable</t>
  </si>
  <si>
    <t>RA-12500 Relay Antenna (Compact)</t>
  </si>
  <si>
    <t>RelayAntenna12500Deployable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</si>
</sst>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#,###"/>
    <numFmt numFmtId="165" formatCode="m/d/yyyy h:mm:ss"/>
  </numFmts>
  <fonts count="40">
    <font>
      <sz val="10.0"/>
      <color rgb="FF000000"/>
      <name val="Arial"/>
    </font>
    <font>
      <b/>
      <u/>
      <sz val="14.0"/>
      <color rgb="FF000000"/>
      <name val="Arial"/>
    </font>
    <font>
      <b/>
      <sz val="11.0"/>
      <color rgb="FFFF0000"/>
      <name val="Arial"/>
    </font>
    <font>
      <u/>
      <color rgb="FF000000"/>
      <name val="Arial"/>
    </font>
    <font>
      <u/>
      <color rgb="FF000000"/>
      <name val="Arial"/>
    </font>
    <font>
      <b/>
      <sz val="12.0"/>
      <color rgb="FFFF0000"/>
    </font>
    <font>
      <b/>
      <u/>
      <sz val="12.0"/>
    </font>
    <font/>
    <font>
      <b/>
      <u/>
      <sz val="12.0"/>
    </font>
    <font>
      <u/>
    </font>
    <font>
      <u/>
    </font>
    <font>
      <b/>
      <u/>
      <sz val="12.0"/>
    </font>
    <font>
      <b/>
      <u/>
      <sz val="12.0"/>
    </font>
    <font>
      <b/>
      <u/>
      <sz val="12.0"/>
    </font>
    <font>
      <b/>
      <u/>
      <sz val="12.0"/>
    </font>
    <font>
      <b/>
      <u/>
      <sz val="12.0"/>
      <color rgb="FF000000"/>
      <name val="Arial"/>
    </font>
    <font>
      <b/>
    </font>
    <font>
      <b/>
      <u/>
      <sz val="12.0"/>
    </font>
    <font>
      <sz val="8.0"/>
    </font>
    <font>
      <b/>
      <u/>
      <name val="Arial"/>
    </font>
    <font>
      <b/>
      <u/>
      <name val="Arial"/>
    </font>
    <font>
      <b/>
      <sz val="12.0"/>
      <color rgb="FF000000"/>
      <name val="Arial"/>
    </font>
    <font>
      <b/>
      <sz val="12.0"/>
    </font>
    <font>
      <b/>
      <color rgb="FF000000"/>
      <name val="Arial"/>
    </font>
    <font>
      <sz val="8.0"/>
      <color rgb="FF000000"/>
      <name val="Inconsolata"/>
    </font>
    <font>
      <name val="Arial"/>
    </font>
    <font>
      <color rgb="FF000000"/>
      <name val="Arial"/>
    </font>
    <font>
      <b/>
      <name val="Arial"/>
    </font>
    <font>
      <b/>
      <u/>
      <sz val="14.0"/>
    </font>
    <font>
      <b/>
      <sz val="14.0"/>
      <color rgb="FFFF0000"/>
      <name val="Arial"/>
    </font>
    <font>
      <b/>
      <color rgb="FFFF0000"/>
      <name val="Arial"/>
    </font>
    <font>
      <b/>
      <u/>
      <color rgb="FF0000FF"/>
    </font>
    <font>
      <b/>
      <u/>
      <color rgb="FF0000FF"/>
      <name val="Arial"/>
    </font>
    <font>
      <b/>
      <u/>
      <sz val="14.0"/>
      <name val="Arial"/>
    </font>
    <font>
      <b/>
      <u/>
      <color rgb="FF0000FF"/>
    </font>
    <font>
      <b/>
      <sz val="14.0"/>
      <color rgb="FFFF0000"/>
    </font>
    <font>
      <b/>
      <sz val="14.0"/>
      <name val="Arial"/>
    </font>
    <font>
      <b/>
      <sz val="12.0"/>
      <name val="Arial"/>
    </font>
    <font>
      <color rgb="FF333333"/>
      <name val="Arial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66">
    <xf borderId="0" fillId="0" fontId="0" numFmtId="0" xfId="0" applyAlignment="1" applyFont="1">
      <alignment readingOrder="0" shrinkToFit="0" vertical="bottom" wrapText="0"/>
    </xf>
    <xf borderId="0" fillId="2" fontId="1" numFmtId="3" xfId="0" applyAlignment="1" applyFill="1" applyFont="1" applyNumberFormat="1">
      <alignment horizontal="left" readingOrder="0" vertical="center"/>
    </xf>
    <xf borderId="0" fillId="2" fontId="2" numFmtId="3" xfId="0" applyAlignment="1" applyFont="1" applyNumberFormat="1">
      <alignment horizontal="left" readingOrder="0" vertical="center"/>
    </xf>
    <xf borderId="0" fillId="2" fontId="3" numFmtId="3" xfId="0" applyAlignment="1" applyFont="1" applyNumberFormat="1">
      <alignment horizontal="right" readingOrder="0" vertical="center"/>
    </xf>
    <xf borderId="0" fillId="2" fontId="4" numFmtId="3" xfId="0" applyAlignment="1" applyFont="1" applyNumberFormat="1">
      <alignment horizontal="left" readingOrder="0" vertical="center"/>
    </xf>
    <xf borderId="0" fillId="0" fontId="5" numFmtId="3" xfId="0" applyAlignment="1" applyFont="1" applyNumberFormat="1">
      <alignment readingOrder="0" vertical="center"/>
    </xf>
    <xf borderId="0" fillId="0" fontId="6" numFmtId="0" xfId="0" applyAlignment="1" applyFont="1">
      <alignment readingOrder="0" shrinkToFit="0" wrapText="1"/>
    </xf>
    <xf borderId="0" fillId="0" fontId="7" numFmtId="0" xfId="0" applyFont="1"/>
    <xf borderId="0" fillId="0" fontId="8" numFmtId="0" xfId="0" applyAlignment="1" applyFont="1">
      <alignment horizontal="center" readingOrder="0" shrinkToFit="0" vertical="bottom" wrapText="1"/>
    </xf>
    <xf borderId="0" fillId="0" fontId="9" numFmtId="0" xfId="0" applyFont="1"/>
    <xf borderId="0" fillId="0" fontId="10" numFmtId="3" xfId="0" applyFont="1" applyNumberFormat="1"/>
    <xf borderId="0" fillId="0" fontId="7" numFmtId="3" xfId="0" applyAlignment="1" applyFont="1" applyNumberFormat="1">
      <alignment readingOrder="0"/>
    </xf>
    <xf borderId="0" fillId="0" fontId="7" numFmtId="0" xfId="0" applyAlignment="1" applyFont="1">
      <alignment readingOrder="0"/>
    </xf>
    <xf borderId="0" fillId="0" fontId="11" numFmtId="3" xfId="0" applyAlignment="1" applyFont="1" applyNumberFormat="1">
      <alignment shrinkToFit="0" wrapText="1"/>
    </xf>
    <xf borderId="0" fillId="0" fontId="12" numFmtId="0" xfId="0" applyAlignment="1" applyFont="1">
      <alignment horizontal="right" readingOrder="0" shrinkToFit="0" wrapText="1"/>
    </xf>
    <xf borderId="0" fillId="0" fontId="13" numFmtId="0" xfId="0" applyAlignment="1" applyFont="1">
      <alignment horizontal="left" readingOrder="0" shrinkToFit="0" wrapText="1"/>
    </xf>
    <xf borderId="0" fillId="0" fontId="14" numFmtId="0" xfId="0" applyAlignment="1" applyFont="1">
      <alignment horizontal="center" readingOrder="0" shrinkToFit="0" vertical="center" wrapText="1"/>
    </xf>
    <xf borderId="0" fillId="2" fontId="15" numFmtId="3" xfId="0" applyAlignment="1" applyFont="1" applyNumberFormat="1">
      <alignment horizontal="left" readingOrder="0" shrinkToFit="0" vertical="center" wrapText="0"/>
    </xf>
    <xf borderId="0" fillId="0" fontId="16" numFmtId="3" xfId="0" applyAlignment="1" applyFont="1" applyNumberFormat="1">
      <alignment horizontal="right"/>
    </xf>
    <xf borderId="0" fillId="0" fontId="17" numFmtId="3" xfId="0" applyFont="1" applyNumberFormat="1"/>
    <xf borderId="0" fillId="0" fontId="7" numFmtId="0" xfId="0" applyAlignment="1" applyFont="1">
      <alignment horizontal="right"/>
    </xf>
    <xf borderId="0" fillId="0" fontId="7" numFmtId="3" xfId="0" applyAlignment="1" applyFont="1" applyNumberFormat="1">
      <alignment horizontal="right"/>
    </xf>
    <xf borderId="0" fillId="0" fontId="7" numFmtId="0" xfId="0" applyAlignment="1" applyFont="1">
      <alignment horizontal="right" readingOrder="0"/>
    </xf>
    <xf borderId="0" fillId="0" fontId="18" numFmtId="0" xfId="0" applyAlignment="1" applyFont="1">
      <alignment readingOrder="0" shrinkToFit="0" vertical="bottom" wrapText="0"/>
    </xf>
    <xf borderId="0" fillId="0" fontId="19" numFmtId="3" xfId="0" applyAlignment="1" applyFont="1" applyNumberFormat="1">
      <alignment horizontal="right" vertical="center"/>
    </xf>
    <xf borderId="0" fillId="0" fontId="20" numFmtId="3" xfId="0" applyAlignment="1" applyFont="1" applyNumberFormat="1">
      <alignment horizontal="right" readingOrder="0" vertical="center"/>
    </xf>
    <xf borderId="0" fillId="0" fontId="7" numFmtId="3" xfId="0" applyFont="1" applyNumberFormat="1"/>
    <xf borderId="0" fillId="2" fontId="21" numFmtId="3" xfId="0" applyAlignment="1" applyFont="1" applyNumberFormat="1">
      <alignment horizontal="right" readingOrder="0" shrinkToFit="0" vertical="center" wrapText="0"/>
    </xf>
    <xf borderId="0" fillId="0" fontId="22" numFmtId="3" xfId="0" applyAlignment="1" applyFont="1" applyNumberFormat="1">
      <alignment readingOrder="0"/>
    </xf>
    <xf borderId="0" fillId="2" fontId="23" numFmtId="3" xfId="0" applyAlignment="1" applyFont="1" applyNumberFormat="1">
      <alignment horizontal="right" shrinkToFit="0" vertical="center" wrapText="0"/>
    </xf>
    <xf borderId="0" fillId="2" fontId="23" numFmtId="3" xfId="0" applyAlignment="1" applyFont="1" applyNumberFormat="1">
      <alignment horizontal="right" readingOrder="0" shrinkToFit="0" vertical="center" wrapText="0"/>
    </xf>
    <xf borderId="0" fillId="2" fontId="23" numFmtId="3" xfId="0" applyAlignment="1" applyFont="1" applyNumberFormat="1">
      <alignment horizontal="left" readingOrder="0" shrinkToFit="0" vertical="center" wrapText="0"/>
    </xf>
    <xf borderId="0" fillId="0" fontId="22" numFmtId="9" xfId="0" applyAlignment="1" applyFont="1" applyNumberFormat="1">
      <alignment horizontal="center"/>
    </xf>
    <xf borderId="0" fillId="0" fontId="7" numFmtId="4" xfId="0" applyFont="1" applyNumberFormat="1"/>
    <xf borderId="0" fillId="0" fontId="22" numFmtId="4" xfId="0" applyAlignment="1" applyFont="1" applyNumberFormat="1">
      <alignment horizontal="center" readingOrder="0"/>
    </xf>
    <xf borderId="0" fillId="0" fontId="7" numFmtId="0" xfId="0" applyAlignment="1" applyFont="1">
      <alignment readingOrder="0"/>
    </xf>
    <xf borderId="0" fillId="2" fontId="23" numFmtId="0" xfId="0" applyAlignment="1" applyFont="1">
      <alignment horizontal="right" readingOrder="0" shrinkToFit="0" vertical="center" wrapText="0"/>
    </xf>
    <xf borderId="0" fillId="2" fontId="23" numFmtId="3" xfId="0" applyAlignment="1" applyFont="1" applyNumberFormat="1">
      <alignment horizontal="left" readingOrder="0" vertical="center"/>
    </xf>
    <xf borderId="0" fillId="2" fontId="24" numFmtId="0" xfId="0" applyAlignment="1" applyFont="1">
      <alignment readingOrder="0" vertical="bottom"/>
    </xf>
    <xf borderId="0" fillId="0" fontId="16" numFmtId="0" xfId="0" applyAlignment="1" applyFont="1">
      <alignment readingOrder="0"/>
    </xf>
    <xf borderId="0" fillId="0" fontId="16" numFmtId="0" xfId="0" applyFont="1"/>
    <xf borderId="0" fillId="0" fontId="25" numFmtId="3" xfId="0" applyAlignment="1" applyFont="1" applyNumberFormat="1">
      <alignment readingOrder="0"/>
    </xf>
    <xf borderId="0" fillId="0" fontId="25" numFmtId="3" xfId="0" applyFont="1" applyNumberFormat="1"/>
    <xf borderId="0" fillId="0" fontId="25" numFmtId="4" xfId="0" applyFont="1" applyNumberFormat="1"/>
    <xf borderId="0" fillId="0" fontId="25" numFmtId="3" xfId="0" applyAlignment="1" applyFont="1" applyNumberFormat="1">
      <alignment readingOrder="0" vertical="bottom"/>
    </xf>
    <xf borderId="0" fillId="0" fontId="25" numFmtId="0" xfId="0" applyAlignment="1" applyFont="1">
      <alignment horizontal="right" readingOrder="0" vertical="center"/>
    </xf>
    <xf borderId="0" fillId="0" fontId="25" numFmtId="3" xfId="0" applyAlignment="1" applyFont="1" applyNumberFormat="1">
      <alignment horizontal="right" readingOrder="0" vertical="center"/>
    </xf>
    <xf borderId="0" fillId="0" fontId="25" numFmtId="0" xfId="0" applyFont="1"/>
    <xf borderId="0" fillId="0" fontId="25" numFmtId="0" xfId="0" applyFont="1"/>
    <xf borderId="0" fillId="0" fontId="16" numFmtId="0" xfId="0" applyAlignment="1" applyFont="1">
      <alignment horizontal="center" readingOrder="0" shrinkToFit="0" vertical="bottom" wrapText="1"/>
    </xf>
    <xf borderId="0" fillId="0" fontId="16" numFmtId="0" xfId="0" applyAlignment="1" applyFont="1">
      <alignment horizontal="center" readingOrder="0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bottom" wrapText="1"/>
    </xf>
    <xf borderId="0" fillId="0" fontId="25" numFmtId="9" xfId="0" applyAlignment="1" applyFont="1" applyNumberFormat="1">
      <alignment horizontal="right" readingOrder="0" vertical="center"/>
    </xf>
    <xf borderId="0" fillId="0" fontId="7" numFmtId="9" xfId="0" applyFont="1" applyNumberFormat="1"/>
    <xf borderId="0" fillId="0" fontId="16" numFmtId="0" xfId="0" applyAlignment="1" applyFont="1">
      <alignment horizontal="right" readingOrder="0"/>
    </xf>
    <xf borderId="0" fillId="2" fontId="26" numFmtId="0" xfId="0" applyAlignment="1" applyFont="1">
      <alignment horizontal="left" readingOrder="0"/>
    </xf>
    <xf borderId="0" fillId="0" fontId="7" numFmtId="0" xfId="0" applyAlignment="1" applyFont="1">
      <alignment horizontal="right"/>
    </xf>
    <xf borderId="0" fillId="2" fontId="26" numFmtId="0" xfId="0" applyAlignment="1" applyFont="1">
      <alignment horizontal="right" readingOrder="0" shrinkToFit="0" vertical="center" wrapText="0"/>
    </xf>
    <xf borderId="0" fillId="2" fontId="26" numFmtId="3" xfId="0" applyAlignment="1" applyFont="1" applyNumberFormat="1">
      <alignment horizontal="right" readingOrder="0" shrinkToFit="0" vertical="center" wrapText="0"/>
    </xf>
    <xf borderId="0" fillId="2" fontId="26" numFmtId="3" xfId="0" applyAlignment="1" applyFont="1" applyNumberFormat="1">
      <alignment horizontal="right" readingOrder="0" shrinkToFit="0" vertical="center" wrapText="1"/>
    </xf>
    <xf borderId="0" fillId="2" fontId="23" numFmtId="3" xfId="0" applyAlignment="1" applyFont="1" applyNumberFormat="1">
      <alignment horizontal="center"/>
    </xf>
    <xf borderId="0" fillId="0" fontId="7" numFmtId="164" xfId="0" applyAlignment="1" applyFont="1" applyNumberFormat="1">
      <alignment horizontal="right"/>
    </xf>
    <xf borderId="0" fillId="2" fontId="27" numFmtId="3" xfId="0" applyAlignment="1" applyFont="1" applyNumberFormat="1">
      <alignment horizontal="left" readingOrder="0" shrinkToFit="0" vertical="center" wrapText="0"/>
    </xf>
    <xf borderId="0" fillId="2" fontId="27" numFmtId="3" xfId="0" applyAlignment="1" applyFont="1" applyNumberFormat="1">
      <alignment horizontal="center" vertical="center"/>
    </xf>
    <xf borderId="0" fillId="2" fontId="27" numFmtId="3" xfId="0" applyAlignment="1" applyFont="1" applyNumberFormat="1">
      <alignment horizontal="left" readingOrder="0" vertical="center"/>
    </xf>
    <xf borderId="0" fillId="0" fontId="28" numFmtId="3" xfId="0" applyAlignment="1" applyFont="1" applyNumberFormat="1">
      <alignment horizontal="left" readingOrder="0"/>
    </xf>
    <xf borderId="0" fillId="0" fontId="16" numFmtId="0" xfId="0" applyAlignment="1" applyFont="1">
      <alignment horizontal="left" readingOrder="0" vertical="center"/>
    </xf>
    <xf borderId="0" fillId="2" fontId="29" numFmtId="3" xfId="0" applyAlignment="1" applyFont="1" applyNumberFormat="1">
      <alignment horizontal="center" readingOrder="0" vertical="center"/>
    </xf>
    <xf borderId="0" fillId="2" fontId="27" numFmtId="3" xfId="0" applyAlignment="1" applyFont="1" applyNumberFormat="1">
      <alignment horizontal="center" readingOrder="0" vertical="center"/>
    </xf>
    <xf borderId="0" fillId="2" fontId="27" numFmtId="3" xfId="0" applyAlignment="1" applyFont="1" applyNumberFormat="1">
      <alignment horizontal="right" vertical="center"/>
    </xf>
    <xf borderId="0" fillId="2" fontId="30" numFmtId="3" xfId="0" applyAlignment="1" applyFont="1" applyNumberFormat="1">
      <alignment horizontal="center" readingOrder="0" vertical="center"/>
    </xf>
    <xf borderId="0" fillId="0" fontId="31" numFmtId="0" xfId="0" applyAlignment="1" applyFont="1">
      <alignment readingOrder="0"/>
    </xf>
    <xf borderId="0" fillId="0" fontId="16" numFmtId="3" xfId="0" applyAlignment="1" applyFont="1" applyNumberFormat="1">
      <alignment horizontal="right" readingOrder="0"/>
    </xf>
    <xf borderId="0" fillId="2" fontId="25" numFmtId="3" xfId="0" applyAlignment="1" applyFont="1" applyNumberFormat="1">
      <alignment horizontal="left" readingOrder="0" vertical="center"/>
    </xf>
    <xf borderId="0" fillId="0" fontId="25" numFmtId="0" xfId="0" applyAlignment="1" applyFont="1">
      <alignment vertical="bottom"/>
    </xf>
    <xf borderId="0" fillId="0" fontId="25" numFmtId="0" xfId="0" applyAlignment="1" applyFont="1">
      <alignment vertical="bottom"/>
    </xf>
    <xf borderId="0" fillId="2" fontId="32" numFmtId="3" xfId="0" applyAlignment="1" applyFont="1" applyNumberFormat="1">
      <alignment horizontal="right" readingOrder="0" vertical="center"/>
    </xf>
    <xf borderId="0" fillId="2" fontId="26" numFmtId="3" xfId="0" applyAlignment="1" applyFont="1" applyNumberFormat="1">
      <alignment horizontal="left" readingOrder="0" shrinkToFit="0" vertical="center" wrapText="0"/>
    </xf>
    <xf borderId="0" fillId="0" fontId="25" numFmtId="3" xfId="0" applyAlignment="1" applyFont="1" applyNumberFormat="1">
      <alignment vertical="bottom"/>
    </xf>
    <xf borderId="0" fillId="0" fontId="7" numFmtId="0" xfId="0" applyAlignment="1" applyFont="1">
      <alignment horizontal="left" vertical="center"/>
    </xf>
    <xf borderId="0" fillId="0" fontId="7" numFmtId="0" xfId="0" applyAlignment="1" applyFont="1">
      <alignment horizontal="right" vertical="center"/>
    </xf>
    <xf borderId="0" fillId="0" fontId="25" numFmtId="0" xfId="0" applyAlignment="1" applyFont="1">
      <alignment horizontal="right" vertical="bottom"/>
    </xf>
    <xf borderId="0" fillId="0" fontId="25" numFmtId="3" xfId="0" applyAlignment="1" applyFont="1" applyNumberFormat="1">
      <alignment horizontal="right" vertical="bottom"/>
    </xf>
    <xf borderId="0" fillId="0" fontId="25" numFmtId="11" xfId="0" applyAlignment="1" applyFont="1" applyNumberFormat="1">
      <alignment horizontal="right" vertical="bottom"/>
    </xf>
    <xf borderId="0" fillId="0" fontId="16" numFmtId="0" xfId="0" applyAlignment="1" applyFont="1">
      <alignment horizontal="left" vertical="center"/>
    </xf>
    <xf borderId="0" fillId="0" fontId="25" numFmtId="0" xfId="0" applyFont="1"/>
    <xf borderId="0" fillId="0" fontId="25" numFmtId="3" xfId="0" applyFont="1" applyNumberFormat="1"/>
    <xf borderId="0" fillId="0" fontId="25" numFmtId="4" xfId="0" applyFont="1" applyNumberFormat="1"/>
    <xf borderId="0" fillId="0" fontId="25" numFmtId="4" xfId="0" applyAlignment="1" applyFont="1" applyNumberFormat="1">
      <alignment vertical="bottom"/>
    </xf>
    <xf borderId="0" fillId="0" fontId="25" numFmtId="4" xfId="0" applyAlignment="1" applyFont="1" applyNumberFormat="1">
      <alignment horizontal="right" vertical="bottom"/>
    </xf>
    <xf borderId="0" fillId="0" fontId="7" numFmtId="0" xfId="0" applyAlignment="1" applyFont="1">
      <alignment horizontal="center" readingOrder="0" shrinkToFit="0" wrapText="1"/>
    </xf>
    <xf borderId="0" fillId="2" fontId="33" numFmtId="3" xfId="0" applyAlignment="1" applyFont="1" applyNumberFormat="1">
      <alignment horizontal="left"/>
    </xf>
    <xf borderId="0" fillId="2" fontId="25" numFmtId="3" xfId="0" applyAlignment="1" applyFont="1" applyNumberFormat="1">
      <alignment vertical="bottom"/>
    </xf>
    <xf borderId="0" fillId="2" fontId="21" numFmtId="0" xfId="0" applyAlignment="1" applyFont="1">
      <alignment horizontal="left"/>
    </xf>
    <xf borderId="0" fillId="2" fontId="25" numFmtId="0" xfId="0" applyAlignment="1" applyFont="1">
      <alignment vertical="bottom"/>
    </xf>
    <xf borderId="0" fillId="2" fontId="25" numFmtId="0" xfId="0" applyAlignment="1" applyFont="1">
      <alignment horizontal="center" vertical="bottom"/>
    </xf>
    <xf borderId="0" fillId="2" fontId="23" numFmtId="3" xfId="0" applyAlignment="1" applyFont="1" applyNumberFormat="1">
      <alignment horizontal="right"/>
    </xf>
    <xf borderId="0" fillId="0" fontId="34" numFmtId="0" xfId="0" applyAlignment="1" applyFont="1">
      <alignment readingOrder="0"/>
    </xf>
    <xf borderId="0" fillId="0" fontId="7" numFmtId="0" xfId="0" applyAlignment="1" applyFont="1">
      <alignment horizontal="center"/>
    </xf>
    <xf borderId="0" fillId="0" fontId="35" numFmtId="0" xfId="0" applyAlignment="1" applyFont="1">
      <alignment horizontal="center" readingOrder="0" shrinkToFit="0" wrapText="1"/>
    </xf>
    <xf borderId="0" fillId="2" fontId="23" numFmtId="0" xfId="0" applyAlignment="1" applyFont="1">
      <alignment horizontal="center"/>
    </xf>
    <xf borderId="0" fillId="2" fontId="23" numFmtId="3" xfId="0" applyAlignment="1" applyFont="1" applyNumberFormat="1">
      <alignment horizontal="center" readingOrder="0"/>
    </xf>
    <xf borderId="0" fillId="2" fontId="23" numFmtId="164" xfId="0" applyAlignment="1" applyFont="1" applyNumberFormat="1">
      <alignment horizontal="center" readingOrder="0"/>
    </xf>
    <xf borderId="0" fillId="2" fontId="23" numFmtId="0" xfId="0" applyAlignment="1" applyFont="1">
      <alignment horizontal="center" readingOrder="0" shrinkToFit="0" wrapText="1"/>
    </xf>
    <xf borderId="0" fillId="0" fontId="7" numFmtId="0" xfId="0" applyAlignment="1" applyFont="1">
      <alignment horizontal="center" readingOrder="0" vertical="center"/>
    </xf>
    <xf borderId="0" fillId="2" fontId="26" numFmtId="3" xfId="0" applyAlignment="1" applyFont="1" applyNumberFormat="1">
      <alignment horizontal="left" shrinkToFit="0" wrapText="0"/>
    </xf>
    <xf borderId="0" fillId="2" fontId="26" numFmtId="3" xfId="0" applyAlignment="1" applyFont="1" applyNumberFormat="1">
      <alignment horizontal="right" shrinkToFit="0" wrapText="0"/>
    </xf>
    <xf borderId="0" fillId="2" fontId="26" numFmtId="0" xfId="0" applyAlignment="1" applyFont="1">
      <alignment horizontal="right" shrinkToFit="0" wrapText="0"/>
    </xf>
    <xf borderId="0" fillId="0" fontId="7" numFmtId="11" xfId="0" applyAlignment="1" applyFont="1" applyNumberFormat="1">
      <alignment readingOrder="0"/>
    </xf>
    <xf borderId="0" fillId="0" fontId="7" numFmtId="4" xfId="0" applyAlignment="1" applyFont="1" applyNumberFormat="1">
      <alignment readingOrder="0"/>
    </xf>
    <xf borderId="0" fillId="2" fontId="26" numFmtId="0" xfId="0" applyAlignment="1" applyFont="1">
      <alignment horizontal="right" readingOrder="0" shrinkToFit="0" wrapText="0"/>
    </xf>
    <xf borderId="0" fillId="0" fontId="7" numFmtId="0" xfId="0" applyAlignment="1" applyFont="1">
      <alignment horizontal="left" readingOrder="0" vertical="center"/>
    </xf>
    <xf borderId="0" fillId="2" fontId="26" numFmtId="3" xfId="0" applyAlignment="1" applyFont="1" applyNumberFormat="1">
      <alignment horizontal="left" readingOrder="0" shrinkToFit="0" wrapText="0"/>
    </xf>
    <xf borderId="0" fillId="0" fontId="7" numFmtId="164" xfId="0" applyAlignment="1" applyFont="1" applyNumberFormat="1">
      <alignment readingOrder="0"/>
    </xf>
    <xf borderId="0" fillId="0" fontId="7" numFmtId="11" xfId="0" applyFont="1" applyNumberFormat="1"/>
    <xf borderId="0" fillId="2" fontId="26" numFmtId="164" xfId="0" applyAlignment="1" applyFont="1" applyNumberFormat="1">
      <alignment horizontal="right" readingOrder="0" shrinkToFit="0" wrapText="0"/>
    </xf>
    <xf borderId="0" fillId="2" fontId="26" numFmtId="3" xfId="0" applyAlignment="1" applyFont="1" applyNumberFormat="1">
      <alignment horizontal="right" readingOrder="0" shrinkToFit="0" wrapText="0"/>
    </xf>
    <xf borderId="0" fillId="2" fontId="26" numFmtId="0" xfId="0" applyAlignment="1" applyFont="1">
      <alignment horizontal="right" readingOrder="0" shrinkToFit="0" wrapText="0"/>
    </xf>
    <xf borderId="0" fillId="2" fontId="26" numFmtId="3" xfId="0" applyAlignment="1" applyFont="1" applyNumberFormat="1">
      <alignment horizontal="left" readingOrder="0"/>
    </xf>
    <xf borderId="0" fillId="2" fontId="26" numFmtId="3" xfId="0" applyAlignment="1" applyFont="1" applyNumberFormat="1">
      <alignment horizontal="left"/>
    </xf>
    <xf borderId="0" fillId="2" fontId="26" numFmtId="3" xfId="0" applyAlignment="1" applyFont="1" applyNumberFormat="1">
      <alignment horizontal="right"/>
    </xf>
    <xf borderId="0" fillId="2" fontId="26" numFmtId="0" xfId="0" applyAlignment="1" applyFont="1">
      <alignment horizontal="right"/>
    </xf>
    <xf borderId="0" fillId="2" fontId="26" numFmtId="0" xfId="0" applyAlignment="1" applyFont="1">
      <alignment horizontal="right" readingOrder="0"/>
    </xf>
    <xf borderId="0" fillId="2" fontId="26" numFmtId="0" xfId="0" applyAlignment="1" applyFont="1">
      <alignment horizontal="right" shrinkToFit="0" wrapText="0"/>
    </xf>
    <xf borderId="0" fillId="0" fontId="7" numFmtId="0" xfId="0" applyAlignment="1" applyFont="1">
      <alignment horizontal="left"/>
    </xf>
    <xf borderId="0" fillId="0" fontId="7" numFmtId="0" xfId="0" applyAlignment="1" applyFont="1">
      <alignment horizontal="center" readingOrder="0"/>
    </xf>
    <xf borderId="0" fillId="0" fontId="7" numFmtId="0" xfId="0" applyAlignment="1" applyFont="1">
      <alignment readingOrder="0"/>
    </xf>
    <xf borderId="0" fillId="0" fontId="25" numFmtId="0" xfId="0" applyAlignment="1" applyFont="1">
      <alignment horizontal="center" vertical="bottom"/>
    </xf>
    <xf borderId="0" fillId="0" fontId="25" numFmtId="0" xfId="0" applyAlignment="1" applyFont="1">
      <alignment horizontal="center" readingOrder="0" vertical="bottom"/>
    </xf>
    <xf borderId="0" fillId="0" fontId="25" numFmtId="0" xfId="0" applyAlignment="1" applyFont="1">
      <alignment readingOrder="0" vertical="bottom"/>
    </xf>
    <xf borderId="0" fillId="0" fontId="25" numFmtId="0" xfId="0" applyAlignment="1" applyFont="1">
      <alignment horizontal="right" readingOrder="0" vertical="bottom"/>
    </xf>
    <xf borderId="0" fillId="0" fontId="25" numFmtId="11" xfId="0" applyAlignment="1" applyFont="1" applyNumberFormat="1">
      <alignment horizontal="right" readingOrder="0" vertical="bottom"/>
    </xf>
    <xf borderId="0" fillId="0" fontId="25" numFmtId="4" xfId="0" applyAlignment="1" applyFont="1" applyNumberFormat="1">
      <alignment horizontal="right" readingOrder="0" vertical="bottom"/>
    </xf>
    <xf borderId="0" fillId="0" fontId="25" numFmtId="11" xfId="0" applyAlignment="1" applyFont="1" applyNumberFormat="1">
      <alignment vertical="bottom"/>
    </xf>
    <xf borderId="0" fillId="0" fontId="7" numFmtId="0" xfId="0" applyAlignment="1" applyFont="1">
      <alignment horizontal="center"/>
    </xf>
    <xf borderId="0" fillId="0" fontId="36" numFmtId="0" xfId="0" applyAlignment="1" applyFont="1">
      <alignment horizontal="left" readingOrder="0" vertical="center"/>
    </xf>
    <xf borderId="0" fillId="0" fontId="25" numFmtId="0" xfId="0" applyAlignment="1" applyFont="1">
      <alignment horizontal="center" vertical="center"/>
    </xf>
    <xf borderId="0" fillId="0" fontId="37" numFmtId="4" xfId="0" applyAlignment="1" applyFont="1" applyNumberFormat="1">
      <alignment horizontal="left" vertical="center"/>
    </xf>
    <xf borderId="0" fillId="0" fontId="27" numFmtId="0" xfId="0" applyAlignment="1" applyFont="1">
      <alignment horizontal="left" readingOrder="0" vertical="center"/>
    </xf>
    <xf borderId="0" fillId="0" fontId="27" numFmtId="0" xfId="0" applyAlignment="1" applyFont="1">
      <alignment horizontal="center" vertical="center"/>
    </xf>
    <xf borderId="0" fillId="0" fontId="25" numFmtId="164" xfId="0" applyAlignment="1" applyFont="1" applyNumberFormat="1">
      <alignment horizontal="center" vertical="center"/>
    </xf>
    <xf borderId="0" fillId="0" fontId="7" numFmtId="0" xfId="0" applyAlignment="1" applyFont="1">
      <alignment horizontal="center" vertical="center"/>
    </xf>
    <xf borderId="0" fillId="0" fontId="36" numFmtId="0" xfId="0" applyAlignment="1" applyFont="1">
      <alignment horizontal="center" vertical="center"/>
    </xf>
    <xf borderId="0" fillId="0" fontId="27" numFmtId="0" xfId="0" applyAlignment="1" applyFont="1">
      <alignment horizontal="center" readingOrder="0" vertical="center"/>
    </xf>
    <xf borderId="0" fillId="0" fontId="27" numFmtId="0" xfId="0" applyAlignment="1" applyFont="1">
      <alignment horizontal="center" shrinkToFit="0" vertical="center" wrapText="1"/>
    </xf>
    <xf borderId="0" fillId="0" fontId="27" numFmtId="164" xfId="0" applyAlignment="1" applyFont="1" applyNumberFormat="1">
      <alignment horizontal="center" shrinkToFit="0" vertical="center" wrapText="1"/>
    </xf>
    <xf borderId="0" fillId="0" fontId="27" numFmtId="0" xfId="0" applyAlignment="1" applyFont="1">
      <alignment horizontal="left" vertical="center"/>
    </xf>
    <xf borderId="0" fillId="0" fontId="25" numFmtId="0" xfId="0" applyAlignment="1" applyFont="1">
      <alignment vertical="center"/>
    </xf>
    <xf borderId="0" fillId="0" fontId="25" numFmtId="164" xfId="0" applyAlignment="1" applyFont="1" applyNumberFormat="1">
      <alignment horizontal="right" vertical="center"/>
    </xf>
    <xf borderId="0" fillId="0" fontId="25" numFmtId="164" xfId="0" applyAlignment="1" applyFont="1" applyNumberFormat="1">
      <alignment horizontal="right" vertical="center"/>
    </xf>
    <xf borderId="0" fillId="0" fontId="25" numFmtId="0" xfId="0" applyAlignment="1" applyFont="1">
      <alignment horizontal="right" vertical="center"/>
    </xf>
    <xf borderId="0" fillId="2" fontId="38" numFmtId="0" xfId="0" applyAlignment="1" applyFont="1">
      <alignment horizontal="right" vertical="center"/>
    </xf>
    <xf borderId="0" fillId="2" fontId="26" numFmtId="164" xfId="0" applyAlignment="1" applyFont="1" applyNumberFormat="1">
      <alignment horizontal="right" vertical="center"/>
    </xf>
    <xf borderId="0" fillId="0" fontId="7" numFmtId="0" xfId="0" applyAlignment="1" applyFont="1">
      <alignment vertical="center"/>
    </xf>
    <xf borderId="0" fillId="2" fontId="25" numFmtId="164" xfId="0" applyAlignment="1" applyFont="1" applyNumberFormat="1">
      <alignment horizontal="right" vertical="center"/>
    </xf>
    <xf borderId="0" fillId="0" fontId="27" numFmtId="3" xfId="0" applyAlignment="1" applyFont="1" applyNumberFormat="1">
      <alignment horizontal="left" vertical="center"/>
    </xf>
    <xf borderId="0" fillId="0" fontId="25" numFmtId="0" xfId="0" applyAlignment="1" applyFont="1">
      <alignment horizontal="right" vertical="center"/>
    </xf>
    <xf borderId="0" fillId="0" fontId="25" numFmtId="164" xfId="0" applyAlignment="1" applyFont="1" applyNumberFormat="1">
      <alignment vertical="center"/>
    </xf>
    <xf borderId="0" fillId="2" fontId="25" numFmtId="164" xfId="0" applyAlignment="1" applyFont="1" applyNumberFormat="1">
      <alignment horizontal="center" vertical="center"/>
    </xf>
    <xf borderId="0" fillId="0" fontId="27" numFmtId="164" xfId="0" applyAlignment="1" applyFont="1" applyNumberFormat="1">
      <alignment readingOrder="0" shrinkToFit="0" wrapText="0"/>
    </xf>
    <xf borderId="0" fillId="0" fontId="25" numFmtId="164" xfId="0" applyFont="1" applyNumberFormat="1"/>
    <xf borderId="0" fillId="0" fontId="0" numFmtId="164" xfId="0" applyAlignment="1" applyFont="1" applyNumberFormat="1">
      <alignment shrinkToFit="0" vertical="bottom" wrapText="0"/>
    </xf>
    <xf borderId="0" fillId="0" fontId="0" numFmtId="164" xfId="0" applyAlignment="1" applyFont="1" applyNumberFormat="1">
      <alignment horizontal="right" readingOrder="0" shrinkToFit="0" vertical="bottom" wrapText="0"/>
    </xf>
    <xf borderId="0" fillId="0" fontId="7" numFmtId="165" xfId="0" applyAlignment="1" applyFont="1" applyNumberFormat="1">
      <alignment readingOrder="0"/>
    </xf>
    <xf borderId="0" fillId="0" fontId="39" numFmtId="0" xfId="0" applyAlignment="1" applyFont="1">
      <alignment readingOrder="0"/>
    </xf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E599"/>
          <bgColor rgb="FFFFE599"/>
        </patternFill>
      </fill>
      <border/>
    </dxf>
    <dxf>
      <font/>
      <fill>
        <patternFill patternType="solid">
          <fgColor rgb="FFF9CB9C"/>
          <bgColor rgb="FFF9CB9C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16</xdr:col>
      <xdr:colOff>9525</xdr:colOff>
      <xdr:row>17</xdr:row>
      <xdr:rowOff>57150</xdr:rowOff>
    </xdr:from>
    <xdr:ext cx="342900" cy="714375"/>
    <xdr:sp>
      <xdr:nvSpPr>
        <xdr:cNvPr id="3" name="Shape 3"/>
        <xdr:cNvSpPr txBox="1"/>
      </xdr:nvSpPr>
      <xdr:spPr>
        <a:xfrm rot="-5400000">
          <a:off x="1943100" y="1485900"/>
          <a:ext cx="695400" cy="323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Stock</a:t>
          </a:r>
          <a:endParaRPr sz="1000"/>
        </a:p>
      </xdr:txBody>
    </xdr:sp>
    <xdr:clientData fLocksWithSheet="0"/>
  </xdr:oneCellAnchor>
  <xdr:oneCellAnchor>
    <xdr:from>
      <xdr:col>16</xdr:col>
      <xdr:colOff>9525</xdr:colOff>
      <xdr:row>24</xdr:row>
      <xdr:rowOff>28575</xdr:rowOff>
    </xdr:from>
    <xdr:ext cx="352425" cy="704850"/>
    <xdr:sp>
      <xdr:nvSpPr>
        <xdr:cNvPr id="4" name="Shape 4"/>
        <xdr:cNvSpPr txBox="1"/>
      </xdr:nvSpPr>
      <xdr:spPr>
        <a:xfrm rot="-5400000">
          <a:off x="2305050" y="1257300"/>
          <a:ext cx="685800" cy="3333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OPM</a:t>
          </a:r>
          <a:endParaRPr sz="10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20</xdr:col>
      <xdr:colOff>9525</xdr:colOff>
      <xdr:row>17</xdr:row>
      <xdr:rowOff>57150</xdr:rowOff>
    </xdr:from>
    <xdr:ext cx="342900" cy="714375"/>
    <xdr:sp>
      <xdr:nvSpPr>
        <xdr:cNvPr id="3" name="Shape 3"/>
        <xdr:cNvSpPr txBox="1"/>
      </xdr:nvSpPr>
      <xdr:spPr>
        <a:xfrm rot="-5400000">
          <a:off x="1943100" y="1485900"/>
          <a:ext cx="695400" cy="3237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Stock</a:t>
          </a:r>
          <a:endParaRPr sz="1000"/>
        </a:p>
      </xdr:txBody>
    </xdr:sp>
    <xdr:clientData fLocksWithSheet="0"/>
  </xdr:oneCellAnchor>
  <xdr:oneCellAnchor>
    <xdr:from>
      <xdr:col>20</xdr:col>
      <xdr:colOff>9525</xdr:colOff>
      <xdr:row>24</xdr:row>
      <xdr:rowOff>28575</xdr:rowOff>
    </xdr:from>
    <xdr:ext cx="352425" cy="704850"/>
    <xdr:sp>
      <xdr:nvSpPr>
        <xdr:cNvPr id="4" name="Shape 4"/>
        <xdr:cNvSpPr txBox="1"/>
      </xdr:nvSpPr>
      <xdr:spPr>
        <a:xfrm rot="-5400000">
          <a:off x="2305050" y="1257300"/>
          <a:ext cx="685800" cy="333300"/>
        </a:xfrm>
        <a:prstGeom prst="rect">
          <a:avLst/>
        </a:prstGeom>
        <a:noFill/>
        <a:ln>
          <a:noFill/>
        </a:ln>
      </xdr:spPr>
      <xdr:txBody>
        <a:bodyPr anchorCtr="0" anchor="ctr" bIns="91425" lIns="91425" spcFirstLastPara="1" rIns="91425" wrap="square" tIns="91425">
          <a:noAutofit/>
        </a:bodyPr>
        <a:lstStyle/>
        <a:p>
          <a:pPr indent="0" lvl="0" marL="0" rtl="0" algn="ctr">
            <a:spcBef>
              <a:spcPts val="0"/>
            </a:spcBef>
            <a:spcAft>
              <a:spcPts val="0"/>
            </a:spcAft>
            <a:buNone/>
          </a:pPr>
          <a:r>
            <a:rPr lang="en-US" sz="1000"/>
            <a:t>OPM</a:t>
          </a:r>
          <a:endParaRPr sz="1000"/>
        </a:p>
      </xdr:txBody>
    </xdr:sp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onUiXK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onUiXK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goo.gl/reURyb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1" Type="http://schemas.openxmlformats.org/officeDocument/2006/relationships/hyperlink" Target="https://github.com/LouisB3/KSP-ExtendedAntennaProgression/blob/master/GameData/ExtendedAntennaProgression/MiniAntenna.cfg" TargetMode="External"/><Relationship Id="rId10" Type="http://schemas.openxmlformats.org/officeDocument/2006/relationships/hyperlink" Target="https://github.com/LouisB3/KSP-ExtendedAntennaProgression/blob/master/GameData/ExtendedAntennaProgression/ExtendedTrackingStation.cfg" TargetMode="External"/><Relationship Id="rId13" Type="http://schemas.openxmlformats.org/officeDocument/2006/relationships/hyperlink" Target="https://github.com/LouisB3/KSP-ExtendedAntennaProgression/blob/master/GameData/ExtendedAntennaProgression/BigAntennas.cfg" TargetMode="External"/><Relationship Id="rId12" Type="http://schemas.openxmlformats.org/officeDocument/2006/relationships/hyperlink" Target="https://github.com/LouisB3/KSP-ExtendedAntennaProgression/blob/master/GameData/ExtendedAntennaProgression/BigAntennas.cfg" TargetMode="External"/><Relationship Id="rId1" Type="http://schemas.openxmlformats.org/officeDocument/2006/relationships/hyperlink" Target="https://github.com/linuxgurugamer/NSS/blob/master/GameData/NSS/Parts/OctoSat_Com_Core.cfg" TargetMode="External"/><Relationship Id="rId2" Type="http://schemas.openxmlformats.org/officeDocument/2006/relationships/hyperlink" Target="https://github.com/linuxgurugamer/NSS/blob/master/GameData/NSS/Parts/OctoSat_Com_HalfTop.cfg" TargetMode="External"/><Relationship Id="rId3" Type="http://schemas.openxmlformats.org/officeDocument/2006/relationships/hyperlink" Target="https://github.com/linuxgurugamer/NSS/blob/master/GameData/NSS/Parts/OctoSat_Com_Side.cfg" TargetMode="External"/><Relationship Id="rId4" Type="http://schemas.openxmlformats.org/officeDocument/2006/relationships/hyperlink" Target="https://github.com/linuxgurugamer/NSS/blob/master/GameData/NSS/Parts/OctoSat_Com_Side.cfg" TargetMode="External"/><Relationship Id="rId9" Type="http://schemas.openxmlformats.org/officeDocument/2006/relationships/hyperlink" Target="https://github.com/LouisB3/KSP-ExtendedAntennaProgression/blob/master/GameData/ExtendedAntennaProgression/ExtendedTrackingStation.cfg" TargetMode="External"/><Relationship Id="rId15" Type="http://schemas.openxmlformats.org/officeDocument/2006/relationships/hyperlink" Target="https://github.com/LouisB3/KSP-ExtendedAntennaProgression/blob/master/Extras/BigAntennasAlternate.cfg" TargetMode="External"/><Relationship Id="rId14" Type="http://schemas.openxmlformats.org/officeDocument/2006/relationships/hyperlink" Target="https://github.com/LouisB3/KSP-ExtendedAntennaProgression/blob/master/GameData/ExtendedAntennaProgression/BigAntennas.cfg" TargetMode="External"/><Relationship Id="rId17" Type="http://schemas.openxmlformats.org/officeDocument/2006/relationships/hyperlink" Target="https://github.com/LouisB3/KSP-ExtendedAntennaProgression/blob/master/Extras/BigAntennasAlternate.cfg" TargetMode="External"/><Relationship Id="rId16" Type="http://schemas.openxmlformats.org/officeDocument/2006/relationships/hyperlink" Target="https://github.com/LouisB3/KSP-ExtendedAntennaProgression/blob/master/Extras/BigAntennasAlternate.cfg" TargetMode="External"/><Relationship Id="rId5" Type="http://schemas.openxmlformats.org/officeDocument/2006/relationships/hyperlink" Target="https://github.com/linuxgurugamer/NSS/blob/master/GameData/NSS/Parts/OctoSat_Com_Side.cfg" TargetMode="External"/><Relationship Id="rId6" Type="http://schemas.openxmlformats.org/officeDocument/2006/relationships/hyperlink" Target="https://github.com/linuxgurugamer/NSS/blob/master/GameData/NSS/Parts/OctoSat_Sc_TopDish.cfg" TargetMode="External"/><Relationship Id="rId18" Type="http://schemas.openxmlformats.org/officeDocument/2006/relationships/drawing" Target="../drawings/drawing5.xml"/><Relationship Id="rId7" Type="http://schemas.openxmlformats.org/officeDocument/2006/relationships/hyperlink" Target="https://github.com/linuxgurugamer/NSS/blob/master/GameData/NSS/Parts/OctoSat_Sc_TopDish.cfg" TargetMode="External"/><Relationship Id="rId8" Type="http://schemas.openxmlformats.org/officeDocument/2006/relationships/hyperlink" Target="https://github.com/LouisB3/KSP-ExtendedAntennaProgression/blob/master/GameData/ExtendedAntennaProgression/ExtendedTrackingStation.cf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8.63"/>
    <col customWidth="1" min="3" max="3" width="10.0"/>
    <col customWidth="1" min="4" max="4" width="3.25"/>
    <col customWidth="1" min="5" max="5" width="20.38"/>
    <col customWidth="1" min="6" max="6" width="18.63"/>
    <col customWidth="1" min="7" max="7" width="10.0"/>
    <col customWidth="1" min="8" max="8" width="3.25"/>
    <col customWidth="1" min="9" max="9" width="7.38"/>
    <col customWidth="1" min="10" max="10" width="21.0"/>
    <col customWidth="1" min="11" max="11" width="14.38"/>
    <col customWidth="1" min="12" max="13" width="13.5"/>
    <col customWidth="1" min="14" max="14" width="3.13"/>
    <col customWidth="1" min="15" max="16" width="13.5"/>
    <col customWidth="1" min="17" max="17" width="15.88"/>
    <col customWidth="1" hidden="1" min="18" max="18" width="17.38"/>
    <col customWidth="1" hidden="1" min="19" max="20" width="12.63"/>
    <col hidden="1" min="21" max="21" width="12.63"/>
    <col customWidth="1" hidden="1" min="22" max="22" width="20.5"/>
    <col hidden="1" min="23" max="27" width="12.63"/>
  </cols>
  <sheetData>
    <row r="1">
      <c r="A1" s="1" t="s">
        <v>0</v>
      </c>
      <c r="B1" s="2" t="s">
        <v>1</v>
      </c>
      <c r="D1" s="3"/>
      <c r="E1" s="4"/>
      <c r="F1" s="4"/>
      <c r="K1" s="5" t="s">
        <v>2</v>
      </c>
      <c r="M1" s="6"/>
      <c r="N1" s="7"/>
      <c r="O1" s="8" t="s">
        <v>3</v>
      </c>
      <c r="R1" s="9"/>
      <c r="S1" s="10"/>
      <c r="T1" s="11" t="s">
        <v>4</v>
      </c>
      <c r="U1" s="12" t="s">
        <v>5</v>
      </c>
      <c r="V1">
        <f>MAX(MIN(1-(K8/J5),1),0)</f>
        <v>0.4368642283</v>
      </c>
    </row>
    <row r="2">
      <c r="A2" s="4"/>
      <c r="B2" s="4"/>
      <c r="C2" s="3"/>
      <c r="D2" s="3"/>
      <c r="E2" s="4"/>
      <c r="F2" s="4"/>
      <c r="G2" s="3"/>
      <c r="H2" s="3"/>
      <c r="I2" s="13"/>
      <c r="J2" s="13" t="s">
        <v>6</v>
      </c>
      <c r="K2" s="14"/>
      <c r="L2" s="15" t="s">
        <v>7</v>
      </c>
      <c r="N2" s="7"/>
      <c r="O2" s="16" t="s">
        <v>8</v>
      </c>
      <c r="P2" s="16" t="s">
        <v>9</v>
      </c>
      <c r="Q2" s="16" t="s">
        <v>10</v>
      </c>
      <c r="R2" s="9"/>
      <c r="S2" s="10"/>
      <c r="T2" s="11" t="s">
        <v>11</v>
      </c>
      <c r="U2" s="12" t="s">
        <v>5</v>
      </c>
      <c r="V2">
        <f>IF(J6=0,0,MAX(MIN(1-(K8/J6),1),0))</f>
        <v>0</v>
      </c>
    </row>
    <row r="3">
      <c r="A3" s="17" t="s">
        <v>12</v>
      </c>
      <c r="B3" s="18" t="s">
        <v>13</v>
      </c>
      <c r="C3" s="3"/>
      <c r="D3" s="3"/>
      <c r="E3" s="19" t="s">
        <v>14</v>
      </c>
      <c r="F3" s="18" t="s">
        <v>15</v>
      </c>
      <c r="G3" s="3"/>
      <c r="H3" s="3"/>
      <c r="I3" s="13"/>
      <c r="K3" s="14"/>
      <c r="N3" s="7"/>
      <c r="R3" s="20" t="str">
        <f t="shared" ref="R3:S3" si="1">J14</f>
        <v>Kerbin</v>
      </c>
      <c r="S3" s="21" t="str">
        <f t="shared" si="1"/>
        <v>Duna</v>
      </c>
      <c r="V3" s="22" t="s">
        <v>16</v>
      </c>
      <c r="W3" s="22" t="s">
        <v>17</v>
      </c>
      <c r="X3" s="12" t="s">
        <v>18</v>
      </c>
      <c r="Y3" s="12" t="s">
        <v>19</v>
      </c>
    </row>
    <row r="4">
      <c r="A4" s="23"/>
      <c r="C4" s="24"/>
      <c r="D4" s="24"/>
      <c r="E4" s="23"/>
      <c r="G4" s="24"/>
      <c r="H4" s="25"/>
      <c r="O4" s="9"/>
      <c r="R4" s="12" t="s">
        <v>20</v>
      </c>
      <c r="S4" s="26">
        <f t="array" ref="S4">(INDEX('System Stats'!$B$43:$M$54,MATCH(R3,'System Stats'!$B$43:$B$54,0),MATCH(S3,'System Stats'!$B$43:$M$43,0)))*Q5</f>
        <v>35383028257</v>
      </c>
      <c r="T4" s="26">
        <f t="array" ref="T4">(INDEX('System Stats'!$B$57:$M$68,MATCH(R3,'System Stats'!$B$57:$B$68,0),MATCH(S3,'System Stats'!$B$57:$M$57,0)))*Q5</f>
        <v>6069283350</v>
      </c>
      <c r="V4" s="12">
        <f t="shared" ref="V4:W4" si="2">MAX(MIN(1-(S4/$J$5),1),0)</f>
        <v>0.003727553924</v>
      </c>
      <c r="W4" s="12">
        <f t="shared" si="2"/>
        <v>0.8291084719</v>
      </c>
      <c r="X4" s="12">
        <f t="shared" ref="X4:Y4" si="3">IF($J$6=0,0,MAX(MIN(1-(S4/$J$6),1),0))</f>
        <v>0</v>
      </c>
      <c r="Y4" s="12">
        <f t="shared" si="3"/>
        <v>0</v>
      </c>
      <c r="AA4" s="12"/>
    </row>
    <row r="5">
      <c r="A5" s="27" t="s">
        <v>21</v>
      </c>
      <c r="B5" s="28">
        <f>(MAX(B9:B28)*((SUM(B9:B28)/MAX(B9:B28))^(R63)))</f>
        <v>50000000000</v>
      </c>
      <c r="C5" s="29"/>
      <c r="D5" s="29"/>
      <c r="E5" s="27" t="s">
        <v>21</v>
      </c>
      <c r="F5" s="28">
        <f>(MAX(F9:F28)*((SUM(F9:F28)/MAX(F9:F28))^(V63)))</f>
        <v>25226892458</v>
      </c>
      <c r="G5" s="29"/>
      <c r="H5" s="30"/>
      <c r="I5" s="27" t="s">
        <v>21</v>
      </c>
      <c r="J5" s="27">
        <f t="shared" ref="J5:J6" si="6">SQRT(B5*F5)</f>
        <v>35515413877</v>
      </c>
      <c r="K5" s="31"/>
      <c r="L5" s="32">
        <f t="shared" ref="L5:L6" si="7">(3-2*V1)*V1^2</f>
        <v>0.4057996767</v>
      </c>
      <c r="N5" s="33"/>
      <c r="O5" s="34">
        <v>1.0</v>
      </c>
      <c r="P5" s="34">
        <v>1.0</v>
      </c>
      <c r="Q5" s="34">
        <v>1.0</v>
      </c>
      <c r="R5" s="35" t="s">
        <v>22</v>
      </c>
      <c r="S5" s="26">
        <f>'System Stats'!H5</f>
        <v>19913538689</v>
      </c>
      <c r="T5" s="26">
        <f>'System Stats'!G5</f>
        <v>7289385437</v>
      </c>
      <c r="U5" s="7" t="s">
        <v>23</v>
      </c>
      <c r="V5" s="12">
        <f t="shared" ref="V5:W5" si="4">MAX(MIN(1-(S5/$J$5),1),0)</f>
        <v>0.4392987012</v>
      </c>
      <c r="W5" s="12">
        <f t="shared" si="4"/>
        <v>0.7947543153</v>
      </c>
      <c r="X5" s="12">
        <f t="shared" ref="X5:Y5" si="5">IF($J$6=0,0,MAX(MIN(1-(S5/$J$6),1),0))</f>
        <v>0</v>
      </c>
      <c r="Y5" s="12">
        <f t="shared" si="5"/>
        <v>0</v>
      </c>
      <c r="Z5" s="12"/>
      <c r="AA5" s="12"/>
    </row>
    <row r="6">
      <c r="A6" s="27" t="s">
        <v>24</v>
      </c>
      <c r="B6" s="28">
        <f>IF(S63=0,0,(MAX(T40:T59)*((SUM(T40:T59)/MAX(T40:T59))^(S63))))</f>
        <v>0</v>
      </c>
      <c r="C6" s="30"/>
      <c r="D6" s="30"/>
      <c r="E6" s="27" t="s">
        <v>24</v>
      </c>
      <c r="F6" s="28">
        <f>IF(W63=0,0,(MAX(X40:X59)*((SUM(X40:X59)/MAX(X40:X59))^(W63))))</f>
        <v>15000000000</v>
      </c>
      <c r="G6" s="30"/>
      <c r="H6" s="36"/>
      <c r="I6" s="27" t="s">
        <v>24</v>
      </c>
      <c r="J6" s="27">
        <f t="shared" si="6"/>
        <v>0</v>
      </c>
      <c r="K6" s="37"/>
      <c r="L6" s="32">
        <f t="shared" si="7"/>
        <v>0</v>
      </c>
      <c r="R6" s="12" t="s">
        <v>25</v>
      </c>
      <c r="S6" s="26">
        <f>'System Stats'!H6</f>
        <v>23530851543</v>
      </c>
      <c r="T6" s="26">
        <f>'System Stats'!G6</f>
        <v>3668828971</v>
      </c>
      <c r="U6" t="s">
        <v>26</v>
      </c>
      <c r="V6" s="12">
        <f>MAX(MIN(1-(S6/J5),1),0)</f>
        <v>0.3374467879</v>
      </c>
      <c r="W6" s="12">
        <f>MAX(MIN(1-(T6/$J$5),1),0)</f>
        <v>0.8966975583</v>
      </c>
      <c r="X6" s="12">
        <f t="shared" ref="X6:Y6" si="8">IF($J$6=0,0,MAX(MIN(1-(S6/$J$6),1),0))</f>
        <v>0</v>
      </c>
      <c r="Y6" s="12">
        <f t="shared" si="8"/>
        <v>0</v>
      </c>
      <c r="Z6" s="12"/>
      <c r="AA6" s="12"/>
    </row>
    <row r="7">
      <c r="A7" s="38" t="s">
        <v>27</v>
      </c>
      <c r="B7" s="39"/>
      <c r="C7" s="30"/>
      <c r="D7" s="30"/>
      <c r="E7" s="38" t="s">
        <v>27</v>
      </c>
      <c r="F7" s="39"/>
      <c r="G7" s="30"/>
      <c r="H7" s="36"/>
      <c r="J7" s="30"/>
      <c r="K7" s="37"/>
      <c r="L7" s="37"/>
      <c r="M7" s="40"/>
      <c r="R7" s="12" t="s">
        <v>28</v>
      </c>
      <c r="S7" s="26">
        <f>'System Stats'!H7</f>
        <v>23579676543</v>
      </c>
      <c r="T7" s="26"/>
      <c r="W7" s="12"/>
      <c r="X7" s="12"/>
      <c r="Y7" s="12"/>
      <c r="Z7" s="12"/>
      <c r="AA7" s="12"/>
    </row>
    <row r="8">
      <c r="A8" s="39" t="s">
        <v>29</v>
      </c>
      <c r="B8" s="39" t="s">
        <v>30</v>
      </c>
      <c r="C8" s="30" t="s">
        <v>31</v>
      </c>
      <c r="D8" s="30"/>
      <c r="E8" s="39" t="s">
        <v>29</v>
      </c>
      <c r="F8" s="39" t="s">
        <v>30</v>
      </c>
      <c r="G8" s="30" t="s">
        <v>31</v>
      </c>
      <c r="H8" s="36"/>
      <c r="I8" s="30"/>
      <c r="J8" s="39" t="s">
        <v>32</v>
      </c>
      <c r="K8" s="11">
        <v>2.0E10</v>
      </c>
      <c r="M8" s="40"/>
      <c r="R8" s="12" t="s">
        <v>33</v>
      </c>
      <c r="S8" s="26">
        <f>'System Stats'!H9</f>
        <v>12000000</v>
      </c>
      <c r="T8" s="11">
        <f>'System Stats'!H9</f>
        <v>12000000</v>
      </c>
      <c r="U8" t="s">
        <v>34</v>
      </c>
      <c r="V8">
        <f>MAX(MIN(1-(S8/J5),1),0)</f>
        <v>0.9996621185</v>
      </c>
      <c r="W8" s="12">
        <f t="shared" ref="W8:W10" si="10">MAX(MIN(1-(T8/$J$5),1),0)</f>
        <v>0.9996621185</v>
      </c>
      <c r="X8" s="12">
        <f t="shared" ref="X8:Y8" si="9">IF($J$6=0,0,MAX(MIN(1-(S8/$J$6),1),0))</f>
        <v>0</v>
      </c>
      <c r="Y8" s="12">
        <f t="shared" si="9"/>
        <v>0</v>
      </c>
      <c r="Z8" s="12"/>
      <c r="AA8" s="12"/>
    </row>
    <row r="9">
      <c r="A9" s="41" t="s">
        <v>35</v>
      </c>
      <c r="B9" s="42">
        <f>IFERROR(__xludf.DUMMYFUNCTION("IF(ISBLANK(A9), """", IF(ISNUMBER(SEARCH(""Deep Space Network"",A9)),FILTER(Antennas!$V$6:$V72,Antennas!$U$6:$U72=A9)*$P$5,FILTER(Antennas!$V$6:$V72,Antennas!$U$6:$U72=A9)*$O$5))"),5.0E10)</f>
        <v>50000000000</v>
      </c>
      <c r="C9" s="43">
        <f>IFERROR(__xludf.DUMMYFUNCTION("IF(ISBLANK(A9), """", FILTER(Antennas!$X$6:$X72,Antennas!$U$6:$U72=A9))"),0.0)</f>
        <v>0</v>
      </c>
      <c r="D9" s="42"/>
      <c r="E9" s="44" t="s">
        <v>36</v>
      </c>
      <c r="F9" s="42">
        <f>IFERROR(__xludf.DUMMYFUNCTION("IF(ISBLANK(E9), """", IF(ISNUMBER(SEARCH(""Deep Space Network"",E9)),FILTER(Antennas!$V$6:$V72,Antennas!$U$6:$U72=E9)*$P$5,FILTER(Antennas!$V$6:$V72,Antennas!$U$6:$U72=E9)*$O$5))"),1.5E10)</f>
        <v>15000000000</v>
      </c>
      <c r="G9" s="43">
        <f>IFERROR(__xludf.DUMMYFUNCTION("IF(ISBLANK(E9), """", FILTER(Antennas!$X$6:$X72,Antennas!$U$6:$U72=E9))"),0.75)</f>
        <v>0.75</v>
      </c>
      <c r="H9" s="45"/>
      <c r="I9" s="46"/>
      <c r="J9" s="39" t="s">
        <v>37</v>
      </c>
      <c r="M9" s="7"/>
      <c r="N9" s="7"/>
      <c r="O9" s="12"/>
      <c r="R9" s="12" t="s">
        <v>38</v>
      </c>
      <c r="S9" s="26">
        <f>'System Stats'!H10</f>
        <v>47000000</v>
      </c>
      <c r="T9" s="26">
        <f>'System Stats'!H10</f>
        <v>47000000</v>
      </c>
      <c r="U9" t="s">
        <v>39</v>
      </c>
      <c r="V9">
        <f>MAX(MIN(1-(S9/J5),1),0)</f>
        <v>0.9986766309</v>
      </c>
      <c r="W9" s="12">
        <f t="shared" si="10"/>
        <v>0.9986766309</v>
      </c>
      <c r="X9" s="12">
        <f t="shared" ref="X9:Y9" si="11">IF($J$6=0,0,MAX(MIN(1-(S9/$J$6),1),0))</f>
        <v>0</v>
      </c>
      <c r="Y9" s="12">
        <f t="shared" si="11"/>
        <v>0</v>
      </c>
      <c r="Z9" s="12"/>
      <c r="AA9" s="12"/>
    </row>
    <row r="10">
      <c r="A10" s="41"/>
      <c r="B10" s="42" t="str">
        <f>IFERROR(__xludf.DUMMYFUNCTION("IF(ISBLANK(A10), """", IF(ISNUMBER(SEARCH(""Deep Space Network"",A10)),FILTER(Antennas!$V$6:$V72,Antennas!$U$6:$U72=A10)*$P$5,FILTER(Antennas!$V$6:$V72,Antennas!$U$6:$U72=A10)*$O$5))"),"")</f>
        <v/>
      </c>
      <c r="C10" s="47" t="str">
        <f>IFERROR(__xludf.DUMMYFUNCTION("IF(ISBLANK(A10), """", FILTER(Antennas!$X$6:$X72,Antennas!$U$6:$U72=A10))"),"")</f>
        <v/>
      </c>
      <c r="D10" s="42"/>
      <c r="E10" s="44" t="s">
        <v>40</v>
      </c>
      <c r="F10" s="42">
        <f>IFERROR(__xludf.DUMMYFUNCTION("IF(ISBLANK(E10), """", IF(ISNUMBER(SEARCH(""Deep Space Network"",E10)),FILTER(Antennas!$V$6:$V72,Antennas!$U$6:$U72=E10)*$P$5,FILTER(Antennas!$V$6:$V72,Antennas!$U$6:$U72=E10)*$O$5))"),1.5E10)</f>
        <v>15000000000</v>
      </c>
      <c r="G10" s="43">
        <f>IFERROR(__xludf.DUMMYFUNCTION("IF(ISBLANK(E10), """", FILTER(Antennas!$X$6:$X72,Antennas!$U$6:$U72=E10))"),0.75)</f>
        <v>0.75</v>
      </c>
      <c r="H10" s="45"/>
      <c r="I10" s="46"/>
      <c r="J10" s="12" t="s">
        <v>41</v>
      </c>
      <c r="K10" s="26">
        <f>IFERROR(__xludf.DUMMYFUNCTION("FILTER(S5:S35,R5:R35=J10)"),3.5383028257E10)</f>
        <v>35383028257</v>
      </c>
      <c r="R10" s="12" t="s">
        <v>41</v>
      </c>
      <c r="S10" s="26">
        <f>'System Stats'!H11</f>
        <v>35383028257</v>
      </c>
      <c r="T10" s="26">
        <f>'System Stats'!G11</f>
        <v>6069283350</v>
      </c>
      <c r="U10" t="s">
        <v>42</v>
      </c>
      <c r="V10">
        <f>MAX(MIN(1-(S10/J5),1),0)</f>
        <v>0.003727553924</v>
      </c>
      <c r="W10" s="12">
        <f t="shared" si="10"/>
        <v>0.8291084719</v>
      </c>
      <c r="X10" s="12">
        <f t="shared" ref="X10:Y10" si="12">IF($J$6=0,0,MAX(MIN(1-(S10/$J$6),1),0))</f>
        <v>0</v>
      </c>
      <c r="Y10" s="12">
        <f t="shared" si="12"/>
        <v>0</v>
      </c>
      <c r="Z10" s="12"/>
      <c r="AA10" s="12"/>
    </row>
    <row r="11">
      <c r="A11" s="41"/>
      <c r="B11" s="42" t="str">
        <f>IFERROR(__xludf.DUMMYFUNCTION("IF(ISBLANK(A11), """", IF(ISNUMBER(SEARCH(""Deep Space Network"",A11)),FILTER(Antennas!$V$6:$V72,Antennas!$U$6:$U72=A11)*$P$5,FILTER(Antennas!$V$6:$V72,Antennas!$U$6:$U72=A11)*$O$5))"),"")</f>
        <v/>
      </c>
      <c r="C11" s="47" t="str">
        <f>IFERROR(__xludf.DUMMYFUNCTION("IF(ISBLANK(A11), """", FILTER(Antennas!$X$6:$X72,Antennas!$U$6:$U72=A11))"),"")</f>
        <v/>
      </c>
      <c r="D11" s="48"/>
      <c r="E11" s="44"/>
      <c r="F11" s="42" t="str">
        <f>IFERROR(__xludf.DUMMYFUNCTION("IF(ISBLANK(E11), """", IF(ISNUMBER(SEARCH(""Deep Space Network"",E11)),FILTER(Antennas!$V$6:$V72,Antennas!$U$6:$U72=E11)*$P$5,FILTER(Antennas!$V$6:$V72,Antennas!$U$6:$U72=E11)*$O$5))"),"")</f>
        <v/>
      </c>
      <c r="G11" s="47" t="str">
        <f>IFERROR(__xludf.DUMMYFUNCTION("IF(ISBLANK(E11), """", FILTER(Antennas!$X$6:$X72,Antennas!$U$6:$U72=E11))"),"")</f>
        <v/>
      </c>
      <c r="L11" s="49" t="s">
        <v>43</v>
      </c>
      <c r="M11" s="49" t="s">
        <v>44</v>
      </c>
      <c r="N11" s="7"/>
      <c r="O11" s="49" t="s">
        <v>45</v>
      </c>
      <c r="P11" s="49" t="s">
        <v>46</v>
      </c>
      <c r="R11" s="12" t="s">
        <v>47</v>
      </c>
      <c r="S11" s="26">
        <f>'System Stats'!H12</f>
        <v>35386324257</v>
      </c>
      <c r="T11" s="26"/>
      <c r="W11" s="12"/>
      <c r="X11" s="12"/>
      <c r="Y11" s="12"/>
      <c r="Z11" s="12"/>
      <c r="AA11" s="12"/>
    </row>
    <row r="12">
      <c r="A12" s="41"/>
      <c r="B12" s="42" t="str">
        <f>IFERROR(__xludf.DUMMYFUNCTION("IF(ISBLANK(A12), """", IF(ISNUMBER(SEARCH(""Deep Space Network"",A12)),FILTER(Antennas!$V$6:$V72,Antennas!$U$6:$U72=A12)*$P$5,FILTER(Antennas!$V$6:$V72,Antennas!$U$6:$U72=A12)*$O$5))"),"")</f>
        <v/>
      </c>
      <c r="C12" s="47" t="str">
        <f>IFERROR(__xludf.DUMMYFUNCTION("IF(ISBLANK(A12), """", FILTER(Antennas!$X$6:$X72,Antennas!$U$6:$U72=A12))"),"")</f>
        <v/>
      </c>
      <c r="D12" s="48"/>
      <c r="E12" s="44"/>
      <c r="F12" s="42" t="str">
        <f>IFERROR(__xludf.DUMMYFUNCTION("IF(ISBLANK(E12), """", IF(ISNUMBER(SEARCH(""Deep Space Network"",E12)),FILTER(Antennas!$V$6:$V72,Antennas!$U$6:$U72=E12)*$P$5,FILTER(Antennas!$V$6:$V72,Antennas!$U$6:$U72=E12)*$O$5))"),"")</f>
        <v/>
      </c>
      <c r="G12" s="47" t="str">
        <f>IFERROR(__xludf.DUMMYFUNCTION("IF(ISBLANK(E12), """", FILTER(Antennas!$X$6:$X72,Antennas!$U$6:$U72=E12))"),"")</f>
        <v/>
      </c>
      <c r="N12" s="7"/>
      <c r="R12" s="12" t="s">
        <v>48</v>
      </c>
      <c r="S12" s="26">
        <f>'System Stats'!H13</f>
        <v>60320789167</v>
      </c>
      <c r="T12" s="26">
        <f>'System Stats'!G13</f>
        <v>21402401940</v>
      </c>
      <c r="U12" t="s">
        <v>49</v>
      </c>
      <c r="V12">
        <f>MAX(MIN(1-(S12/J5),1),0)</f>
        <v>0</v>
      </c>
      <c r="W12" s="12">
        <f t="shared" ref="W12:W13" si="14">MAX(MIN(1-(T12/$J$5),1),0)</f>
        <v>0.3973770934</v>
      </c>
      <c r="X12" s="12">
        <f t="shared" ref="X12:Y12" si="13">IF($J$6=0,0,MAX(MIN(1-(S12/$J$6),1),0))</f>
        <v>0</v>
      </c>
      <c r="Y12" s="12">
        <f t="shared" si="13"/>
        <v>0</v>
      </c>
      <c r="Z12" s="12"/>
      <c r="AA12" s="12"/>
    </row>
    <row r="13">
      <c r="A13" s="41"/>
      <c r="B13" s="42" t="str">
        <f>IFERROR(__xludf.DUMMYFUNCTION("IF(ISBLANK(A13), """", IF(ISNUMBER(SEARCH(""Deep Space Network"",A13)),FILTER(Antennas!$V$6:$V72,Antennas!$U$6:$U72=A13)*$P$5,FILTER(Antennas!$V$6:$V72,Antennas!$U$6:$U72=A13)*$O$5))"),"")</f>
        <v/>
      </c>
      <c r="C13" s="47" t="str">
        <f>IFERROR(__xludf.DUMMYFUNCTION("IF(ISBLANK(A13), """", FILTER(Antennas!$X$6:$X72,Antennas!$U$6:$U72=A13))"),"")</f>
        <v/>
      </c>
      <c r="D13" s="48"/>
      <c r="E13" s="44"/>
      <c r="F13" s="42" t="str">
        <f>IFERROR(__xludf.DUMMYFUNCTION("IF(ISBLANK(E13), """", IF(ISNUMBER(SEARCH(""Deep Space Network"",E13)),FILTER(Antennas!$V$6:$V72,Antennas!$U$6:$U72=E13)*$P$5,FILTER(Antennas!$V$6:$V72,Antennas!$U$6:$U72=E13)*$O$5))"),"")</f>
        <v/>
      </c>
      <c r="G13" s="47" t="str">
        <f>IFERROR(__xludf.DUMMYFUNCTION("IF(ISBLANK(E13), """", FILTER(Antennas!$X$6:$X72,Antennas!$U$6:$U72=E13))"),"")</f>
        <v/>
      </c>
      <c r="J13" s="50" t="s">
        <v>50</v>
      </c>
      <c r="K13" s="49" t="s">
        <v>51</v>
      </c>
      <c r="N13" s="7"/>
      <c r="R13" s="12" t="s">
        <v>52</v>
      </c>
      <c r="S13" s="26">
        <f>'System Stats'!H14</f>
        <v>85812077664</v>
      </c>
      <c r="T13" s="26">
        <f>'System Stats'!G14</f>
        <v>51735042066</v>
      </c>
      <c r="U13" t="s">
        <v>53</v>
      </c>
      <c r="V13">
        <f>MAX(MIN(1-(S13/J5),1),0)</f>
        <v>0</v>
      </c>
      <c r="W13" s="12">
        <f t="shared" si="14"/>
        <v>0</v>
      </c>
      <c r="X13" s="12">
        <f t="shared" ref="X13:Y13" si="15">IF($J$6=0,0,MAX(MIN(1-(S13/$J$6),1),0))</f>
        <v>0</v>
      </c>
      <c r="Y13" s="12">
        <f t="shared" si="15"/>
        <v>0</v>
      </c>
      <c r="Z13" s="12"/>
      <c r="AA13" s="12"/>
    </row>
    <row r="14">
      <c r="A14" s="41"/>
      <c r="B14" s="42" t="str">
        <f>IFERROR(__xludf.DUMMYFUNCTION("IF(ISBLANK(A14), """", IF(ISNUMBER(SEARCH(""Deep Space Network"",A14)),FILTER(Antennas!$V$6:$V72,Antennas!$U$6:$U72=A14)*$P$5,FILTER(Antennas!$V$6:$V72,Antennas!$U$6:$U72=A14)*$O$5))"),"")</f>
        <v/>
      </c>
      <c r="C14" s="47" t="str">
        <f>IFERROR(__xludf.DUMMYFUNCTION("IF(ISBLANK(A14), """", FILTER(Antennas!$X$6:$X72,Antennas!$U$6:$U72=A14))"),"")</f>
        <v/>
      </c>
      <c r="D14" s="48"/>
      <c r="E14" s="44"/>
      <c r="F14" s="42" t="str">
        <f>IFERROR(__xludf.DUMMYFUNCTION("IF(ISBLANK(E14), """", IF(ISNUMBER(SEARCH(""Deep Space Network"",E14)),FILTER(Antennas!$V$6:$V72,Antennas!$U$6:$U72=E14)*$P$5,FILTER(Antennas!$V$6:$V72,Antennas!$U$6:$U72=E14)*$O$5))"),"")</f>
        <v/>
      </c>
      <c r="G14" s="47" t="str">
        <f>IFERROR(__xludf.DUMMYFUNCTION("IF(ISBLANK(E14), """", FILTER(Antennas!$X$6:$X72,Antennas!$U$6:$U72=E14))"),"")</f>
        <v/>
      </c>
      <c r="J14" s="51" t="s">
        <v>54</v>
      </c>
      <c r="K14" s="52" t="s">
        <v>42</v>
      </c>
      <c r="L14" s="53">
        <f t="shared" ref="L14:M14" si="16">(3-2*V4)*V4^2</f>
        <v>0.0000415803886</v>
      </c>
      <c r="M14" s="53">
        <f t="shared" si="16"/>
        <v>0.9223696599</v>
      </c>
      <c r="N14" s="54"/>
      <c r="O14" s="53">
        <f t="shared" ref="O14:P14" si="17">(3-2*X4)*X4^2</f>
        <v>0</v>
      </c>
      <c r="P14" s="53">
        <f t="shared" si="17"/>
        <v>0</v>
      </c>
      <c r="R14" s="12" t="s">
        <v>55</v>
      </c>
      <c r="S14" s="26">
        <f>'System Stats'!H15</f>
        <v>85839261664</v>
      </c>
      <c r="T14" s="26"/>
      <c r="W14" s="12"/>
      <c r="X14" s="12"/>
      <c r="Y14" s="12"/>
      <c r="Z14" s="12"/>
      <c r="AA14" s="12"/>
    </row>
    <row r="15">
      <c r="A15" s="41"/>
      <c r="B15" s="42" t="str">
        <f>IFERROR(__xludf.DUMMYFUNCTION("IF(ISBLANK(A15), """", IF(ISNUMBER(SEARCH(""Deep Space Network"",A15)),FILTER(Antennas!$V$6:$V72,Antennas!$U$6:$U72=A15)*$P$5,FILTER(Antennas!$V$6:$V72,Antennas!$U$6:$U72=A15)*$O$5))"),"")</f>
        <v/>
      </c>
      <c r="C15" s="47" t="str">
        <f>IFERROR(__xludf.DUMMYFUNCTION("IF(ISBLANK(A15), """", FILTER(Antennas!$X$6:$X72,Antennas!$U$6:$U72=A15))"),"")</f>
        <v/>
      </c>
      <c r="D15" s="42"/>
      <c r="E15" s="41"/>
      <c r="F15" s="42" t="str">
        <f>IFERROR(__xludf.DUMMYFUNCTION("IF(ISBLANK(E15), """", IF(ISNUMBER(SEARCH(""Deep Space Network"",E15)),FILTER(Antennas!$V$6:$V72,Antennas!$U$6:$U72=E15)*$P$5,FILTER(Antennas!$V$6:$V72,Antennas!$U$6:$U72=E15)*$O$5))"),"")</f>
        <v/>
      </c>
      <c r="G15" s="47" t="str">
        <f>IFERROR(__xludf.DUMMYFUNCTION("IF(ISBLANK(E15), """", FILTER(Antennas!$X$6:$X72,Antennas!$U$6:$U72=E15))"),"")</f>
        <v/>
      </c>
      <c r="H15" s="46"/>
      <c r="I15" s="46"/>
      <c r="K15" s="55" t="s">
        <v>56</v>
      </c>
      <c r="R15" s="56" t="s">
        <v>57</v>
      </c>
      <c r="S15" s="26">
        <f>'System Stats'!H16</f>
        <v>85855229664</v>
      </c>
      <c r="T15" s="26"/>
      <c r="W15" s="12"/>
      <c r="X15" s="12"/>
      <c r="Y15" s="12"/>
      <c r="Z15" s="12"/>
      <c r="AA15" s="12"/>
    </row>
    <row r="16">
      <c r="A16" s="41"/>
      <c r="B16" s="42" t="str">
        <f>IFERROR(__xludf.DUMMYFUNCTION("IF(ISBLANK(A16), """", IF(ISNUMBER(SEARCH(""Deep Space Network"",A16)),FILTER(Antennas!$V$6:$V72,Antennas!$U$6:$U72=A16)*$P$5,FILTER(Antennas!$V$6:$V72,Antennas!$U$6:$U72=A16)*$O$5))"),"")</f>
        <v/>
      </c>
      <c r="C16" s="47" t="str">
        <f>IFERROR(__xludf.DUMMYFUNCTION("IF(ISBLANK(A16), """", FILTER(Antennas!$X$6:$X72,Antennas!$U$6:$U72=A16))"),"")</f>
        <v/>
      </c>
      <c r="D16" s="48"/>
      <c r="E16" s="41"/>
      <c r="F16" s="42" t="str">
        <f>IFERROR(__xludf.DUMMYFUNCTION("IF(ISBLANK(E16), """", IF(ISNUMBER(SEARCH(""Deep Space Network"",E16)),FILTER(Antennas!$V$6:$V72,Antennas!$U$6:$U72=E16)*$P$5,FILTER(Antennas!$V$6:$V72,Antennas!$U$6:$U72=E16)*$O$5))"),"")</f>
        <v/>
      </c>
      <c r="G16" s="47" t="str">
        <f>IFERROR(__xludf.DUMMYFUNCTION("IF(ISBLANK(E16), """", FILTER(Antennas!$X$6:$X72,Antennas!$U$6:$U72=E16))"),"")</f>
        <v/>
      </c>
      <c r="K16" s="57" t="s">
        <v>23</v>
      </c>
      <c r="L16" s="53">
        <f t="shared" ref="L16:M16" si="18">(3-2*V5)*V5^2</f>
        <v>0.4093953776</v>
      </c>
      <c r="M16" s="53">
        <f t="shared" si="18"/>
        <v>0.8909149005</v>
      </c>
      <c r="N16" s="54"/>
      <c r="O16" s="53">
        <f t="shared" ref="O16:P16" si="19">(3-2*X5)*X5^2</f>
        <v>0</v>
      </c>
      <c r="P16" s="53">
        <f t="shared" si="19"/>
        <v>0</v>
      </c>
      <c r="R16" s="56" t="s">
        <v>58</v>
      </c>
      <c r="S16" s="26">
        <f>'System Stats'!H17</f>
        <v>85880577664</v>
      </c>
      <c r="T16" s="26"/>
      <c r="W16" s="12"/>
      <c r="X16" s="12"/>
      <c r="Y16" s="12"/>
      <c r="Z16" s="12"/>
      <c r="AA16" s="12"/>
    </row>
    <row r="17">
      <c r="A17" s="41"/>
      <c r="B17" s="42" t="str">
        <f>IFERROR(__xludf.DUMMYFUNCTION("IF(ISBLANK(A17), """", IF(ISNUMBER(SEARCH(""Deep Space Network"",A17)),FILTER(Antennas!$V$6:$V72,Antennas!$U$6:$U72=A17)*$P$5,FILTER(Antennas!$V$6:$V72,Antennas!$U$6:$U72=A17)*$O$5))"),"")</f>
        <v/>
      </c>
      <c r="C17" s="47" t="str">
        <f>IFERROR(__xludf.DUMMYFUNCTION("IF(ISBLANK(A17), """", FILTER(Antennas!$X$6:$X72,Antennas!$U$6:$U72=A17))"),"")</f>
        <v/>
      </c>
      <c r="D17" s="48"/>
      <c r="E17" s="41"/>
      <c r="F17" s="42" t="str">
        <f>IFERROR(__xludf.DUMMYFUNCTION("IF(ISBLANK(E17), """", IF(ISNUMBER(SEARCH(""Deep Space Network"",E17)),FILTER(Antennas!$V$6:$V72,Antennas!$U$6:$U72=E17)*$P$5,FILTER(Antennas!$V$6:$V72,Antennas!$U$6:$U72=E17)*$O$5))"),"")</f>
        <v/>
      </c>
      <c r="G17" s="47" t="str">
        <f>IFERROR(__xludf.DUMMYFUNCTION("IF(ISBLANK(E17), """", FILTER(Antennas!$X$6:$X72,Antennas!$U$6:$U72=E17))"),"")</f>
        <v/>
      </c>
      <c r="K17" s="21" t="s">
        <v>26</v>
      </c>
      <c r="L17" s="53">
        <f t="shared" ref="L17:M17" si="20">(3-2*V6)*V6^2</f>
        <v>0.2647606467</v>
      </c>
      <c r="M17" s="53">
        <f t="shared" si="20"/>
        <v>0.9701905788</v>
      </c>
      <c r="N17" s="54"/>
      <c r="O17" s="53">
        <f t="shared" ref="O17:P17" si="21">(3-2*X6)*X6^2</f>
        <v>0</v>
      </c>
      <c r="P17" s="53">
        <f t="shared" si="21"/>
        <v>0</v>
      </c>
      <c r="R17" s="56" t="s">
        <v>59</v>
      </c>
      <c r="S17" s="26">
        <f>'System Stats'!H18</f>
        <v>85970775164</v>
      </c>
      <c r="T17" s="26"/>
      <c r="W17" s="12"/>
      <c r="X17" s="12"/>
      <c r="Y17" s="12"/>
      <c r="Z17" s="12"/>
      <c r="AA17" s="12"/>
    </row>
    <row r="18">
      <c r="A18" s="41"/>
      <c r="B18" s="42" t="str">
        <f>IFERROR(__xludf.DUMMYFUNCTION("IF(ISBLANK(A18), """", IF(ISNUMBER(SEARCH(""Deep Space Network"",A18)),FILTER(Antennas!$V$6:$V72,Antennas!$U$6:$U72=A18)*$P$5,FILTER(Antennas!$V$6:$V72,Antennas!$U$6:$U72=A18)*$O$5))"),"")</f>
        <v/>
      </c>
      <c r="C18" s="47" t="str">
        <f>IFERROR(__xludf.DUMMYFUNCTION("IF(ISBLANK(A18), """", FILTER(Antennas!$X$6:$X72,Antennas!$U$6:$U72=A18))"),"")</f>
        <v/>
      </c>
      <c r="D18" s="48"/>
      <c r="E18" s="41"/>
      <c r="F18" s="42" t="str">
        <f>IFERROR(__xludf.DUMMYFUNCTION("IF(ISBLANK(E18), """", IF(ISNUMBER(SEARCH(""Deep Space Network"",E18)),FILTER(Antennas!$V$6:$V72,Antennas!$U$6:$U72=E18)*$P$5,FILTER(Antennas!$V$6:$V72,Antennas!$U$6:$U72=E18)*$O$5))"),"")</f>
        <v/>
      </c>
      <c r="G18" s="47" t="str">
        <f>IFERROR(__xludf.DUMMYFUNCTION("IF(ISBLANK(E18), """", FILTER(Antennas!$X$6:$X72,Antennas!$U$6:$U72=E18))"),"")</f>
        <v/>
      </c>
      <c r="K18" s="21" t="s">
        <v>34</v>
      </c>
      <c r="L18" s="53">
        <f t="shared" ref="L18:M18" si="22">(3-2*V8)*V8^2</f>
        <v>0.9999996576</v>
      </c>
      <c r="M18" s="53">
        <f t="shared" si="22"/>
        <v>0.9999996576</v>
      </c>
      <c r="N18" s="54"/>
      <c r="O18" s="53">
        <f t="shared" ref="O18:P18" si="23">(3-2*X8)*X8^2</f>
        <v>0</v>
      </c>
      <c r="P18" s="53">
        <f t="shared" si="23"/>
        <v>0</v>
      </c>
      <c r="R18" s="56" t="s">
        <v>60</v>
      </c>
      <c r="S18" s="26">
        <f>'System Stats'!H19</f>
        <v>86022701871</v>
      </c>
      <c r="T18" s="26"/>
      <c r="W18" s="12"/>
      <c r="X18" s="12"/>
      <c r="Y18" s="12"/>
      <c r="Z18" s="12"/>
      <c r="AA18" s="12"/>
    </row>
    <row r="19">
      <c r="A19" s="41"/>
      <c r="B19" s="42" t="str">
        <f>IFERROR(__xludf.DUMMYFUNCTION("IF(ISBLANK(A19), """", IF(ISNUMBER(SEARCH(""Deep Space Network"",A19)),FILTER(Antennas!$V$6:$V72,Antennas!$U$6:$U72=A19)*$P$5,FILTER(Antennas!$V$6:$V72,Antennas!$U$6:$U72=A19)*$O$5))"),"")</f>
        <v/>
      </c>
      <c r="C19" s="47" t="str">
        <f>IFERROR(__xludf.DUMMYFUNCTION("IF(ISBLANK(A19), """", FILTER(Antennas!$X$6:$X72,Antennas!$U$6:$U72=A19))"),"")</f>
        <v/>
      </c>
      <c r="D19" s="42"/>
      <c r="E19" s="41"/>
      <c r="F19" s="42" t="str">
        <f>IFERROR(__xludf.DUMMYFUNCTION("IF(ISBLANK(E19), """", IF(ISNUMBER(SEARCH(""Deep Space Network"",E19)),FILTER(Antennas!$V$6:$V72,Antennas!$U$6:$U72=E19)*$P$5,FILTER(Antennas!$V$6:$V72,Antennas!$U$6:$U72=E19)*$O$5))"),"")</f>
        <v/>
      </c>
      <c r="G19" s="47" t="str">
        <f>IFERROR(__xludf.DUMMYFUNCTION("IF(ISBLANK(E19), """", FILTER(Antennas!$X$6:$X72,Antennas!$U$6:$U72=E19))"),"")</f>
        <v/>
      </c>
      <c r="H19" s="58"/>
      <c r="I19" s="59"/>
      <c r="K19" s="21" t="s">
        <v>39</v>
      </c>
      <c r="L19" s="53">
        <f t="shared" ref="L19:M19" si="24">(3-2*V9)*V9^2</f>
        <v>0.9999947507</v>
      </c>
      <c r="M19" s="53">
        <f t="shared" si="24"/>
        <v>0.9999947507</v>
      </c>
      <c r="N19" s="54"/>
      <c r="O19" s="53">
        <f t="shared" ref="O19:P19" si="25">(3-2*X9)*X9^2</f>
        <v>0</v>
      </c>
      <c r="P19" s="53">
        <f t="shared" si="25"/>
        <v>0</v>
      </c>
      <c r="R19" s="56" t="s">
        <v>61</v>
      </c>
      <c r="S19" s="26">
        <f>'System Stats'!H20</f>
        <v>127081753657</v>
      </c>
      <c r="T19" s="26">
        <f>'System Stats'!G20</f>
        <v>53183306389</v>
      </c>
      <c r="U19" t="s">
        <v>62</v>
      </c>
      <c r="V19">
        <f>MAX(MIN(1-(S19/J5),1),0)</f>
        <v>0</v>
      </c>
      <c r="W19" s="12">
        <f t="shared" ref="W19:W20" si="29">MAX(MIN(1-(T19/$J$5),1),0)</f>
        <v>0</v>
      </c>
      <c r="X19" s="12">
        <f t="shared" ref="X19:Y19" si="26">IF($J$6=0,0,MAX(MIN(1-(S19/$J$6),1),0))</f>
        <v>0</v>
      </c>
      <c r="Y19" s="12">
        <f t="shared" si="26"/>
        <v>0</v>
      </c>
      <c r="Z19" s="12"/>
      <c r="AA19" s="12"/>
    </row>
    <row r="20">
      <c r="A20" s="41"/>
      <c r="B20" s="42" t="str">
        <f>IFERROR(__xludf.DUMMYFUNCTION("IF(ISBLANK(A20), """", IF(ISNUMBER(SEARCH(""Deep Space Network"",A20)),FILTER(Antennas!$V$6:$V72,Antennas!$U$6:$U72=A20)*$P$5,FILTER(Antennas!$V$6:$V72,Antennas!$U$6:$U72=A20)*$O$5))"),"")</f>
        <v/>
      </c>
      <c r="C20" s="47" t="str">
        <f>IFERROR(__xludf.DUMMYFUNCTION("IF(ISBLANK(A20), """", FILTER(Antennas!$X$6:$X72,Antennas!$U$6:$U72=A20))"),"")</f>
        <v/>
      </c>
      <c r="D20" s="42"/>
      <c r="E20" s="41"/>
      <c r="F20" s="42" t="str">
        <f>IFERROR(__xludf.DUMMYFUNCTION("IF(ISBLANK(E20), """", IF(ISNUMBER(SEARCH(""Deep Space Network"",E20)),FILTER(Antennas!$V$6:$V72,Antennas!$U$6:$U72=E20)*$P$5,FILTER(Antennas!$V$6:$V72,Antennas!$U$6:$U72=E20)*$O$5))"),"")</f>
        <v/>
      </c>
      <c r="G20" s="47" t="str">
        <f>IFERROR(__xludf.DUMMYFUNCTION("IF(ISBLANK(E20), """", FILTER(Antennas!$X$6:$X72,Antennas!$U$6:$U72=E20))"),"")</f>
        <v/>
      </c>
      <c r="H20" s="58"/>
      <c r="I20" s="59"/>
      <c r="K20" s="21" t="s">
        <v>42</v>
      </c>
      <c r="L20" s="53">
        <f t="shared" ref="L20:M20" si="27">(3-2*V10)*V10^2</f>
        <v>0.0000415803886</v>
      </c>
      <c r="M20" s="53">
        <f t="shared" si="27"/>
        <v>0.9223696599</v>
      </c>
      <c r="N20" s="54"/>
      <c r="O20" s="53">
        <f t="shared" ref="O20:P20" si="28">(3-2*X10)*X10^2</f>
        <v>0</v>
      </c>
      <c r="P20" s="53">
        <f t="shared" si="28"/>
        <v>0</v>
      </c>
      <c r="R20" s="56" t="s">
        <v>63</v>
      </c>
      <c r="S20" s="26">
        <f>'System Stats'!H24</f>
        <v>146116001357</v>
      </c>
      <c r="T20" s="26">
        <f>'System Stats'!G24</f>
        <v>105481041293</v>
      </c>
      <c r="U20" t="s">
        <v>64</v>
      </c>
      <c r="V20">
        <f>MAX(MIN(1-(S20/J5),1),0)</f>
        <v>0</v>
      </c>
      <c r="W20" s="12">
        <f t="shared" si="29"/>
        <v>0</v>
      </c>
      <c r="X20" s="12">
        <f t="shared" ref="X20:Y20" si="30">IF($J$6=0,0,MAX(MIN(1-(S20/$J$6),1),0))</f>
        <v>0</v>
      </c>
      <c r="Y20" s="12">
        <f t="shared" si="30"/>
        <v>0</v>
      </c>
      <c r="Z20" s="12"/>
      <c r="AA20" s="12"/>
    </row>
    <row r="21">
      <c r="A21" s="41"/>
      <c r="B21" s="42" t="str">
        <f>IFERROR(__xludf.DUMMYFUNCTION("IF(ISBLANK(A21), """", IF(ISNUMBER(SEARCH(""Deep Space Network"",A21)),FILTER(Antennas!$V$6:$V72,Antennas!$U$6:$U72=A21)*$P$5,FILTER(Antennas!$V$6:$V72,Antennas!$U$6:$U72=A21)*$O$5))"),"")</f>
        <v/>
      </c>
      <c r="C21" s="47" t="str">
        <f>IFERROR(__xludf.DUMMYFUNCTION("IF(ISBLANK(A21), """", FILTER(Antennas!$X$6:$X72,Antennas!$U$6:$U72=A21))"),"")</f>
        <v/>
      </c>
      <c r="D21" s="42"/>
      <c r="E21" s="41"/>
      <c r="F21" s="42" t="str">
        <f>IFERROR(__xludf.DUMMYFUNCTION("IF(ISBLANK(E21), """", IF(ISNUMBER(SEARCH(""Deep Space Network"",E21)),FILTER(Antennas!$V$6:$V72,Antennas!$U$6:$U72=E21)*$P$5,FILTER(Antennas!$V$6:$V72,Antennas!$U$6:$U72=E21)*$O$5))"),"")</f>
        <v/>
      </c>
      <c r="G21" s="47" t="str">
        <f>IFERROR(__xludf.DUMMYFUNCTION("IF(ISBLANK(E21), """", FILTER(Antennas!$X$6:$X72,Antennas!$U$6:$U72=E21))"),"")</f>
        <v/>
      </c>
      <c r="H21" s="58"/>
      <c r="I21" s="60"/>
      <c r="K21" s="21" t="s">
        <v>49</v>
      </c>
      <c r="L21" s="53">
        <f t="shared" ref="L21:M21" si="31">(3-2*V12)*V12^2</f>
        <v>0</v>
      </c>
      <c r="M21" s="53">
        <f t="shared" si="31"/>
        <v>0.3482271784</v>
      </c>
      <c r="N21" s="54"/>
      <c r="O21" s="53">
        <f t="shared" ref="O21:P21" si="32">(3-2*X12)*X12^2</f>
        <v>0</v>
      </c>
      <c r="P21" s="53">
        <f t="shared" si="32"/>
        <v>0</v>
      </c>
      <c r="R21" s="56" t="s">
        <v>65</v>
      </c>
      <c r="S21" s="26">
        <f>'System Stats'!H25</f>
        <v>146126489588</v>
      </c>
      <c r="T21" s="26"/>
      <c r="W21" s="12"/>
      <c r="X21" s="12"/>
      <c r="Y21" s="12"/>
      <c r="Z21" s="12"/>
      <c r="AA21" s="12"/>
    </row>
    <row r="22">
      <c r="A22" s="41"/>
      <c r="B22" s="42" t="str">
        <f>IFERROR(__xludf.DUMMYFUNCTION("IF(ISBLANK(A22), """", IF(ISNUMBER(SEARCH(""Deep Space Network"",A22)),FILTER(Antennas!$V$6:$V72,Antennas!$U$6:$U72=A22)*$P$5,FILTER(Antennas!$V$6:$V72,Antennas!$U$6:$U72=A22)*$O$5))"),"")</f>
        <v/>
      </c>
      <c r="C22" s="47" t="str">
        <f>IFERROR(__xludf.DUMMYFUNCTION("IF(ISBLANK(A22), """", FILTER(Antennas!$X$6:$X72,Antennas!$U$6:$U72=A22))"),"")</f>
        <v/>
      </c>
      <c r="D22" s="42"/>
      <c r="E22" s="41"/>
      <c r="F22" s="42" t="str">
        <f>IFERROR(__xludf.DUMMYFUNCTION("IF(ISBLANK(E22), """", IF(ISNUMBER(SEARCH(""Deep Space Network"",E22)),FILTER(Antennas!$V$6:$V72,Antennas!$U$6:$U72=E22)*$P$5,FILTER(Antennas!$V$6:$V72,Antennas!$U$6:$U72=E22)*$O$5))"),"")</f>
        <v/>
      </c>
      <c r="G22" s="47" t="str">
        <f>IFERROR(__xludf.DUMMYFUNCTION("IF(ISBLANK(E22), """", FILTER(Antennas!$X$6:$X72,Antennas!$U$6:$U72=E22))"),"")</f>
        <v/>
      </c>
      <c r="H22" s="45"/>
      <c r="I22" s="46"/>
      <c r="K22" s="21" t="s">
        <v>53</v>
      </c>
      <c r="L22" s="53">
        <f t="shared" ref="L22:M22" si="33">(3-2*V13)*V13^2</f>
        <v>0</v>
      </c>
      <c r="M22" s="53">
        <f t="shared" si="33"/>
        <v>0</v>
      </c>
      <c r="N22" s="54"/>
      <c r="O22" s="53">
        <f t="shared" ref="O22:P22" si="34">(3-2*X13)*X13^2</f>
        <v>0</v>
      </c>
      <c r="P22" s="53">
        <f t="shared" si="34"/>
        <v>0</v>
      </c>
      <c r="R22" s="12" t="s">
        <v>66</v>
      </c>
      <c r="S22" s="26">
        <f>'System Stats'!H26</f>
        <v>146128292464</v>
      </c>
      <c r="T22" s="26"/>
      <c r="W22" s="12"/>
      <c r="X22" s="12"/>
      <c r="Y22" s="12"/>
      <c r="Z22" s="12"/>
      <c r="AA22" s="12"/>
    </row>
    <row r="23">
      <c r="A23" s="41"/>
      <c r="B23" s="42" t="str">
        <f>IFERROR(__xludf.DUMMYFUNCTION("IF(ISBLANK(A23), """", IF(ISNUMBER(SEARCH(""Deep Space Network"",A23)),FILTER(Antennas!$V$6:$V72,Antennas!$U$6:$U72=A23)*$P$5,FILTER(Antennas!$V$6:$V72,Antennas!$U$6:$U72=A23)*$O$5))"),"")</f>
        <v/>
      </c>
      <c r="C23" s="47" t="str">
        <f>IFERROR(__xludf.DUMMYFUNCTION("IF(ISBLANK(A23), """", FILTER(Antennas!$X$6:$X72,Antennas!$U$6:$U72=A23))"),"")</f>
        <v/>
      </c>
      <c r="D23" s="42"/>
      <c r="E23" s="41"/>
      <c r="F23" s="42" t="str">
        <f>IFERROR(__xludf.DUMMYFUNCTION("IF(ISBLANK(E23), """", IF(ISNUMBER(SEARCH(""Deep Space Network"",E23)),FILTER(Antennas!$V$6:$V72,Antennas!$U$6:$U72=E23)*$P$5,FILTER(Antennas!$V$6:$V72,Antennas!$U$6:$U72=E23)*$O$5))"),"")</f>
        <v/>
      </c>
      <c r="G23" s="47" t="str">
        <f>IFERROR(__xludf.DUMMYFUNCTION("IF(ISBLANK(E23), """", FILTER(Antennas!$X$6:$X72,Antennas!$U$6:$U72=E23))"),"")</f>
        <v/>
      </c>
      <c r="H23" s="45"/>
      <c r="I23" s="26"/>
      <c r="K23" s="21" t="s">
        <v>62</v>
      </c>
      <c r="L23" s="53">
        <f t="shared" ref="L23:M23" si="35">(3-2*V19)*V19^2</f>
        <v>0</v>
      </c>
      <c r="M23" s="53">
        <f t="shared" si="35"/>
        <v>0</v>
      </c>
      <c r="N23" s="54"/>
      <c r="O23" s="53">
        <f t="shared" ref="O23:P23" si="36">(3-2*X19)*X19^2</f>
        <v>0</v>
      </c>
      <c r="P23" s="53">
        <f t="shared" si="36"/>
        <v>0</v>
      </c>
      <c r="R23" s="12" t="s">
        <v>67</v>
      </c>
      <c r="S23" s="26">
        <f>'System Stats'!H27</f>
        <v>146135172295</v>
      </c>
      <c r="T23" s="26"/>
      <c r="W23" s="12"/>
      <c r="X23" s="12"/>
      <c r="Y23" s="12"/>
      <c r="Z23" s="12"/>
      <c r="AA23" s="12"/>
    </row>
    <row r="24">
      <c r="A24" s="41"/>
      <c r="B24" s="42" t="str">
        <f>IFERROR(__xludf.DUMMYFUNCTION("IF(ISBLANK(A24), """", IF(ISNUMBER(SEARCH(""Deep Space Network"",A24)),FILTER(Antennas!$V$6:$V72,Antennas!$U$6:$U72=A24)*$P$5,FILTER(Antennas!$V$6:$V72,Antennas!$U$6:$U72=A24)*$O$5))"),"")</f>
        <v/>
      </c>
      <c r="C24" s="47" t="str">
        <f>IFERROR(__xludf.DUMMYFUNCTION("IF(ISBLANK(A24), """", FILTER(Antennas!$X$6:$X72,Antennas!$U$6:$U72=A24))"),"")</f>
        <v/>
      </c>
      <c r="D24" s="42"/>
      <c r="E24" s="41"/>
      <c r="F24" s="42" t="str">
        <f>IFERROR(__xludf.DUMMYFUNCTION("IF(ISBLANK(E24), """", IF(ISNUMBER(SEARCH(""Deep Space Network"",E24)),FILTER(Antennas!$V$6:$V72,Antennas!$U$6:$U72=E24)*$P$5,FILTER(Antennas!$V$6:$V72,Antennas!$U$6:$U72=E24)*$O$5))"),"")</f>
        <v/>
      </c>
      <c r="G24" s="47" t="str">
        <f>IFERROR(__xludf.DUMMYFUNCTION("IF(ISBLANK(E24), """", FILTER(Antennas!$X$6:$X72,Antennas!$U$6:$U72=E24))"),"")</f>
        <v/>
      </c>
      <c r="H24" s="58"/>
      <c r="I24" s="59"/>
      <c r="K24" s="21"/>
      <c r="L24" s="54"/>
      <c r="M24" s="54"/>
      <c r="N24" s="54"/>
      <c r="O24" s="54"/>
      <c r="P24" s="54"/>
      <c r="R24" s="12" t="s">
        <v>68</v>
      </c>
      <c r="S24" s="26">
        <f>'System Stats'!H28</f>
        <v>146160298021</v>
      </c>
      <c r="T24" s="26"/>
      <c r="W24" s="12"/>
      <c r="X24" s="12"/>
      <c r="Y24" s="12"/>
      <c r="Z24" s="12"/>
      <c r="AA24" s="12"/>
    </row>
    <row r="25">
      <c r="A25" s="41"/>
      <c r="B25" s="42" t="str">
        <f>IFERROR(__xludf.DUMMYFUNCTION("IF(ISBLANK(A25), """", IF(ISNUMBER(SEARCH(""Deep Space Network"",A25)),FILTER(Antennas!$V$6:$V72,Antennas!$U$6:$U72=A25)*$P$5,FILTER(Antennas!$V$6:$V72,Antennas!$U$6:$U72=A25)*$O$5))"),"")</f>
        <v/>
      </c>
      <c r="C25" s="47" t="str">
        <f>IFERROR(__xludf.DUMMYFUNCTION("IF(ISBLANK(A25), """", FILTER(Antennas!$X$6:$X72,Antennas!$U$6:$U72=A25))"),"")</f>
        <v/>
      </c>
      <c r="D25" s="42"/>
      <c r="E25" s="41"/>
      <c r="F25" s="42" t="str">
        <f>IFERROR(__xludf.DUMMYFUNCTION("IF(ISBLANK(E25), """", IF(ISNUMBER(SEARCH(""Deep Space Network"",E25)),FILTER(Antennas!$V$6:$V72,Antennas!$U$6:$U72=E25)*$P$5,FILTER(Antennas!$V$6:$V72,Antennas!$U$6:$U72=E25)*$O$5))"),"")</f>
        <v/>
      </c>
      <c r="G25" s="47" t="str">
        <f>IFERROR(__xludf.DUMMYFUNCTION("IF(ISBLANK(E25), """", FILTER(Antennas!$X$6:$X72,Antennas!$U$6:$U72=E25))"),"")</f>
        <v/>
      </c>
      <c r="H25" s="58"/>
      <c r="I25" s="59"/>
      <c r="K25" s="21" t="s">
        <v>64</v>
      </c>
      <c r="L25" s="53">
        <f t="shared" ref="L25:M25" si="37">(3-2*V20)*V20^2</f>
        <v>0</v>
      </c>
      <c r="M25" s="53">
        <f t="shared" si="37"/>
        <v>0</v>
      </c>
      <c r="N25" s="54"/>
      <c r="O25" s="53">
        <f t="shared" ref="O25:P25" si="38">(3-2*X20)*X20^2</f>
        <v>0</v>
      </c>
      <c r="P25" s="53">
        <f t="shared" si="38"/>
        <v>0</v>
      </c>
      <c r="R25" s="12" t="s">
        <v>69</v>
      </c>
      <c r="S25" s="26">
        <f>'System Stats'!H29</f>
        <v>146216082610</v>
      </c>
      <c r="T25" s="26"/>
      <c r="W25" s="12"/>
      <c r="X25" s="12"/>
      <c r="Y25" s="12"/>
      <c r="Z25" s="12"/>
      <c r="AA25" s="12"/>
    </row>
    <row r="26">
      <c r="A26" s="41"/>
      <c r="B26" s="42" t="str">
        <f>IFERROR(__xludf.DUMMYFUNCTION("IF(ISBLANK(A26), """", IF(ISNUMBER(SEARCH(""Deep Space Network"",A26)),FILTER(Antennas!$V$6:$V72,Antennas!$U$6:$U72=A26)*$P$5,FILTER(Antennas!$V$6:$V72,Antennas!$U$6:$U72=A26)*$O$5))"),"")</f>
        <v/>
      </c>
      <c r="C26" s="47" t="str">
        <f>IFERROR(__xludf.DUMMYFUNCTION("IF(ISBLANK(A26), """", FILTER(Antennas!$X$6:$X72,Antennas!$U$6:$U72=A26))"),"")</f>
        <v/>
      </c>
      <c r="D26" s="42"/>
      <c r="E26" s="41"/>
      <c r="F26" s="42" t="str">
        <f>IFERROR(__xludf.DUMMYFUNCTION("IF(ISBLANK(E26), """", IF(ISNUMBER(SEARCH(""Deep Space Network"",E26)),FILTER(Antennas!$V$6:$V72,Antennas!$U$6:$U72=E26)*$P$5,FILTER(Antennas!$V$6:$V72,Antennas!$U$6:$U72=E26)*$O$5))"),"")</f>
        <v/>
      </c>
      <c r="G26" s="47" t="str">
        <f>IFERROR(__xludf.DUMMYFUNCTION("IF(ISBLANK(E26), """", FILTER(Antennas!$X$6:$X72,Antennas!$U$6:$U72=E26))"),"")</f>
        <v/>
      </c>
      <c r="H26" s="58"/>
      <c r="I26" s="59"/>
      <c r="K26" s="21" t="s">
        <v>70</v>
      </c>
      <c r="L26" s="53">
        <f t="shared" ref="L26:M26" si="39">(3-2*V26)*V26^2</f>
        <v>0</v>
      </c>
      <c r="M26" s="53">
        <f t="shared" si="39"/>
        <v>0</v>
      </c>
      <c r="N26" s="54"/>
      <c r="O26" s="53">
        <f t="shared" ref="O26:P26" si="40">(3-2*X26)*X26^2</f>
        <v>0</v>
      </c>
      <c r="P26" s="53">
        <f t="shared" si="40"/>
        <v>0</v>
      </c>
      <c r="R26" s="12" t="s">
        <v>71</v>
      </c>
      <c r="S26" s="26">
        <f>'System Stats'!H30</f>
        <v>279415712909</v>
      </c>
      <c r="T26" s="26">
        <f>'System Stats'!G30</f>
        <v>229218312140</v>
      </c>
      <c r="U26" t="s">
        <v>70</v>
      </c>
      <c r="V26">
        <f>MAX(MIN(1-(S26/J5),1),0)</f>
        <v>0</v>
      </c>
      <c r="W26" s="12">
        <f>MAX(MIN(1-(T26/$J$5),1),0)</f>
        <v>0</v>
      </c>
      <c r="X26" s="12">
        <f t="shared" ref="X26:Y26" si="41">IF($J$6=0,0,MAX(MIN(1-(S26/$J$6),1),0))</f>
        <v>0</v>
      </c>
      <c r="Y26" s="12">
        <f t="shared" si="41"/>
        <v>0</v>
      </c>
      <c r="Z26" s="12"/>
      <c r="AA26" s="12"/>
    </row>
    <row r="27">
      <c r="A27" s="41"/>
      <c r="B27" s="42" t="str">
        <f>IFERROR(__xludf.DUMMYFUNCTION("IF(ISBLANK(A27), """", IF(ISNUMBER(SEARCH(""Deep Space Network"",A27)),FILTER(Antennas!$V$6:$V72,Antennas!$U$6:$U72=A27)*$P$5,FILTER(Antennas!$V$6:$V72,Antennas!$U$6:$U72=A27)*$O$5))"),"")</f>
        <v/>
      </c>
      <c r="C27" s="47" t="str">
        <f>IFERROR(__xludf.DUMMYFUNCTION("IF(ISBLANK(A27), """", FILTER(Antennas!$X$6:$X72,Antennas!$U$6:$U72=A27))"),"")</f>
        <v/>
      </c>
      <c r="D27" s="42"/>
      <c r="E27" s="41"/>
      <c r="F27" s="42" t="str">
        <f>IFERROR(__xludf.DUMMYFUNCTION("IF(ISBLANK(E27), """", IF(ISNUMBER(SEARCH(""Deep Space Network"",E27)),FILTER(Antennas!$V$6:$V72,Antennas!$U$6:$U72=E27)*$P$5,FILTER(Antennas!$V$6:$V72,Antennas!$U$6:$U72=E27)*$O$5))"),"")</f>
        <v/>
      </c>
      <c r="G27" s="47" t="str">
        <f>IFERROR(__xludf.DUMMYFUNCTION("IF(ISBLANK(E27), """", FILTER(Antennas!$X$6:$X72,Antennas!$U$6:$U72=E27))"),"")</f>
        <v/>
      </c>
      <c r="H27" s="61"/>
      <c r="I27" s="26"/>
      <c r="K27" s="21" t="s">
        <v>72</v>
      </c>
      <c r="L27" s="53">
        <f t="shared" ref="L27:M27" si="42">(3-2*V31)*V31^2</f>
        <v>0</v>
      </c>
      <c r="M27" s="53">
        <f t="shared" si="42"/>
        <v>0</v>
      </c>
      <c r="N27" s="54"/>
      <c r="O27" s="53">
        <f t="shared" ref="O27:P27" si="43">(3-2*X31)*X31^2</f>
        <v>0</v>
      </c>
      <c r="P27" s="53">
        <f t="shared" si="43"/>
        <v>0</v>
      </c>
      <c r="R27" s="12" t="s">
        <v>73</v>
      </c>
      <c r="S27" s="26">
        <f>'System Stats'!H31</f>
        <v>279427458396</v>
      </c>
      <c r="T27" s="26"/>
      <c r="W27" s="12"/>
      <c r="X27" s="12"/>
      <c r="Y27" s="12"/>
      <c r="Z27" s="12"/>
      <c r="AA27" s="12"/>
    </row>
    <row r="28">
      <c r="A28" s="41"/>
      <c r="B28" s="42" t="str">
        <f>IFERROR(__xludf.DUMMYFUNCTION("IF(ISBLANK(A28), """", IF(ISNUMBER(SEARCH(""Deep Space Network"",A28)),FILTER(Antennas!$V$6:$V72,Antennas!$U$6:$U72=A28)*$P$5,FILTER(Antennas!$V$6:$V72,Antennas!$U$6:$U72=A28)*$O$5))"),"")</f>
        <v/>
      </c>
      <c r="C28" s="47" t="str">
        <f>IFERROR(__xludf.DUMMYFUNCTION("IF(ISBLANK(A28), """", FILTER(Antennas!$X$6:$X72,Antennas!$U$6:$U72=A28))"),"")</f>
        <v/>
      </c>
      <c r="D28" s="42"/>
      <c r="E28" s="41"/>
      <c r="F28" s="42" t="str">
        <f>IFERROR(__xludf.DUMMYFUNCTION("IF(ISBLANK(E28), """", IF(ISNUMBER(SEARCH(""Deep Space Network"",E28)),FILTER(Antennas!$V$6:$V72,Antennas!$U$6:$U72=E28)*$P$5,FILTER(Antennas!$V$6:$V72,Antennas!$U$6:$U72=E28)*$O$5))"),"")</f>
        <v/>
      </c>
      <c r="G28" s="47" t="str">
        <f>IFERROR(__xludf.DUMMYFUNCTION("IF(ISBLANK(E28), """", FILTER(Antennas!$X$6:$X72,Antennas!$U$6:$U72=E28))"),"")</f>
        <v/>
      </c>
      <c r="H28" s="61"/>
      <c r="I28" s="26"/>
      <c r="K28" s="62" t="s">
        <v>74</v>
      </c>
      <c r="L28" s="53">
        <f t="shared" ref="L28:M28" si="44">(3-2*V34)*V34^2</f>
        <v>0</v>
      </c>
      <c r="M28" s="53">
        <f t="shared" si="44"/>
        <v>0</v>
      </c>
      <c r="N28" s="54"/>
      <c r="O28" s="53">
        <f t="shared" ref="O28:P28" si="45">(3-2*X34)*X34^2</f>
        <v>0</v>
      </c>
      <c r="P28" s="53">
        <f t="shared" si="45"/>
        <v>0</v>
      </c>
      <c r="R28" s="11" t="s">
        <v>75</v>
      </c>
      <c r="S28" s="26">
        <f>'System Stats'!H32</f>
        <v>279427458396</v>
      </c>
      <c r="T28" s="26"/>
      <c r="W28" s="12"/>
      <c r="X28" s="12"/>
      <c r="Y28" s="12"/>
      <c r="Z28" s="12"/>
      <c r="AA28" s="12"/>
    </row>
    <row r="29">
      <c r="A29" s="63" t="s">
        <v>76</v>
      </c>
      <c r="B29" s="64"/>
      <c r="C29" s="64"/>
      <c r="D29" s="64"/>
      <c r="E29" s="65" t="s">
        <v>77</v>
      </c>
      <c r="F29" s="64"/>
      <c r="G29" s="64"/>
      <c r="H29" s="64"/>
      <c r="I29" s="66"/>
      <c r="J29" s="66" t="s">
        <v>78</v>
      </c>
      <c r="K29" s="26"/>
      <c r="L29" s="26"/>
      <c r="M29" s="26"/>
      <c r="N29" s="26"/>
      <c r="O29" s="26"/>
      <c r="R29" s="11" t="s">
        <v>79</v>
      </c>
      <c r="S29" s="26">
        <f>'System Stats'!H33</f>
        <v>279484820311</v>
      </c>
      <c r="T29" s="26"/>
      <c r="W29" s="12"/>
      <c r="X29" s="12"/>
      <c r="Y29" s="12"/>
      <c r="Z29" s="12"/>
      <c r="AA29" s="12"/>
    </row>
    <row r="30">
      <c r="A30" s="67" t="s">
        <v>80</v>
      </c>
      <c r="B30" s="64"/>
      <c r="C30" s="64"/>
      <c r="D30" s="64"/>
      <c r="E30" s="64"/>
      <c r="F30" s="68"/>
      <c r="G30" s="64"/>
      <c r="H30" s="64"/>
      <c r="I30" s="57"/>
      <c r="J30" s="57"/>
      <c r="K30" s="7"/>
      <c r="L30" s="7"/>
      <c r="M30" s="26"/>
      <c r="N30" s="26"/>
      <c r="O30" s="26"/>
      <c r="R30" s="11" t="s">
        <v>81</v>
      </c>
      <c r="S30" s="26">
        <f>'System Stats'!H34</f>
        <v>279487929474</v>
      </c>
      <c r="T30" s="26"/>
      <c r="W30" s="12"/>
      <c r="X30" s="12"/>
      <c r="Y30" s="12"/>
      <c r="Z30" s="12"/>
      <c r="AA30" s="12"/>
    </row>
    <row r="31">
      <c r="A31" s="69" t="s">
        <v>82</v>
      </c>
      <c r="B31" s="64"/>
      <c r="C31" s="64"/>
      <c r="D31" s="64"/>
      <c r="E31" s="64"/>
      <c r="F31" s="64"/>
      <c r="G31" s="64"/>
      <c r="H31" s="64"/>
      <c r="I31" s="11"/>
      <c r="J31" s="11" t="s">
        <v>83</v>
      </c>
      <c r="K31" s="26"/>
      <c r="L31" s="26"/>
      <c r="M31" s="26"/>
      <c r="N31" s="26"/>
      <c r="O31" s="26"/>
      <c r="R31" s="11" t="s">
        <v>84</v>
      </c>
      <c r="S31" s="26">
        <f>'System Stats'!H35</f>
        <v>428177051986</v>
      </c>
      <c r="T31" s="26">
        <f>'System Stats'!G35</f>
        <v>390533330076</v>
      </c>
      <c r="U31" t="s">
        <v>72</v>
      </c>
      <c r="V31">
        <f>MAX(MIN(1-(S31/J5),1),0)</f>
        <v>0</v>
      </c>
      <c r="W31" s="12">
        <f>MAX(MIN(1-(T31/$J$5),1),0)</f>
        <v>0</v>
      </c>
      <c r="X31" s="12">
        <f t="shared" ref="X31:Y31" si="46">IF($J$6=0,0,MAX(MIN(1-(S31/$J$6),1),0))</f>
        <v>0</v>
      </c>
      <c r="Y31" s="12">
        <f t="shared" si="46"/>
        <v>0</v>
      </c>
      <c r="Z31" s="12"/>
      <c r="AA31" s="12"/>
    </row>
    <row r="32">
      <c r="A32" s="11" t="s">
        <v>85</v>
      </c>
      <c r="B32" s="64"/>
      <c r="C32" s="64"/>
      <c r="D32" s="64"/>
      <c r="E32" s="64"/>
      <c r="F32" s="64"/>
      <c r="G32" s="64"/>
      <c r="H32" s="64"/>
      <c r="I32" s="11"/>
      <c r="J32" s="11" t="s">
        <v>86</v>
      </c>
      <c r="K32" s="26"/>
      <c r="L32" s="26"/>
      <c r="M32" s="26"/>
      <c r="N32" s="26"/>
      <c r="O32" s="26"/>
      <c r="R32" s="11" t="s">
        <v>87</v>
      </c>
      <c r="S32" s="26">
        <f>'System Stats'!H36</f>
        <v>428209366770</v>
      </c>
      <c r="T32" s="26"/>
      <c r="W32" s="12"/>
      <c r="X32" s="12"/>
      <c r="Y32" s="12"/>
      <c r="Z32" s="12"/>
      <c r="AA32" s="12"/>
    </row>
    <row r="33">
      <c r="A33" s="11" t="s">
        <v>88</v>
      </c>
      <c r="B33" s="64"/>
      <c r="C33" s="64"/>
      <c r="D33" s="64"/>
      <c r="E33" s="64"/>
      <c r="F33" s="64"/>
      <c r="G33" s="64"/>
      <c r="H33" s="64"/>
      <c r="I33" s="26"/>
      <c r="J33" s="26"/>
      <c r="K33" s="26"/>
      <c r="L33" s="26"/>
      <c r="M33" s="26"/>
      <c r="N33" s="26"/>
      <c r="O33" s="26"/>
      <c r="R33" s="11" t="s">
        <v>89</v>
      </c>
      <c r="S33" s="26">
        <f>'System Stats'!H37</f>
        <v>429015970830</v>
      </c>
      <c r="T33" s="26"/>
      <c r="W33" s="12"/>
      <c r="X33" s="12"/>
      <c r="Y33" s="12"/>
      <c r="Z33" s="12"/>
      <c r="AA33" s="12"/>
    </row>
    <row r="34">
      <c r="A34" s="11" t="s">
        <v>90</v>
      </c>
      <c r="B34" s="64"/>
      <c r="C34" s="64"/>
      <c r="D34" s="64"/>
      <c r="E34" s="64"/>
      <c r="F34" s="64"/>
      <c r="G34" s="64"/>
      <c r="H34" s="64"/>
      <c r="I34" s="11"/>
      <c r="J34" s="11" t="s">
        <v>91</v>
      </c>
      <c r="K34" s="26"/>
      <c r="L34" s="26"/>
      <c r="M34" s="26"/>
      <c r="N34" s="26"/>
      <c r="O34" s="26"/>
      <c r="R34" s="11" t="s">
        <v>92</v>
      </c>
      <c r="S34" s="26">
        <f>'System Stats'!H38</f>
        <v>688705350475</v>
      </c>
      <c r="T34" s="26">
        <f>'System Stats'!G38</f>
        <v>382964603173</v>
      </c>
      <c r="U34" t="s">
        <v>74</v>
      </c>
      <c r="V34">
        <f>MAX(MIN(1-(S34/J5),1),0)</f>
        <v>0</v>
      </c>
      <c r="W34" s="12">
        <f>MAX(MIN(1-(T34/$J$5),1),0)</f>
        <v>0</v>
      </c>
      <c r="X34" s="12">
        <f t="shared" ref="X34:Y34" si="47">IF($J$6=0,0,MAX(MIN(1-(S34/$J$6),1),0))</f>
        <v>0</v>
      </c>
      <c r="Y34" s="12">
        <f t="shared" si="47"/>
        <v>0</v>
      </c>
      <c r="Z34" s="12"/>
    </row>
    <row r="35">
      <c r="A35" s="11" t="s">
        <v>93</v>
      </c>
      <c r="B35" s="64"/>
      <c r="C35" s="64"/>
      <c r="D35" s="64"/>
      <c r="E35" s="70"/>
      <c r="F35" s="71"/>
      <c r="G35" s="64"/>
      <c r="H35" s="64"/>
      <c r="I35" s="11"/>
      <c r="J35" s="11" t="s">
        <v>94</v>
      </c>
      <c r="K35" s="26"/>
      <c r="L35" s="26"/>
      <c r="M35" s="26"/>
      <c r="N35" s="26"/>
      <c r="O35" s="26"/>
      <c r="R35" s="11" t="s">
        <v>95</v>
      </c>
      <c r="S35" s="26">
        <f>'System Stats'!H39</f>
        <v>688707808275</v>
      </c>
      <c r="T35" s="26"/>
      <c r="X35" s="12"/>
      <c r="Y35" s="12"/>
    </row>
    <row r="36">
      <c r="A36" s="12" t="s">
        <v>96</v>
      </c>
      <c r="E36" s="72" t="str">
        <f>HYPERLINK("http://wiki.kerbalspaceprogram.com/wiki/CommNet","KSP CommNet Wiki")</f>
        <v>KSP CommNet Wiki</v>
      </c>
      <c r="G36" s="64"/>
      <c r="H36" s="64"/>
      <c r="I36" s="26"/>
      <c r="J36" s="26"/>
      <c r="K36" s="26"/>
      <c r="L36" s="26"/>
      <c r="M36" s="26"/>
      <c r="N36" s="26"/>
      <c r="O36" s="26"/>
      <c r="R36" s="26"/>
      <c r="S36" s="26"/>
      <c r="T36" s="26"/>
      <c r="AA36" s="12"/>
    </row>
    <row r="37">
      <c r="G37" s="64"/>
      <c r="H37" s="64"/>
      <c r="I37" s="11"/>
      <c r="J37" s="11" t="s">
        <v>97</v>
      </c>
      <c r="K37" s="26"/>
      <c r="L37" s="26"/>
      <c r="M37" s="26"/>
      <c r="N37" s="26"/>
      <c r="O37" s="26"/>
    </row>
    <row r="38">
      <c r="A38" s="73" t="s">
        <v>98</v>
      </c>
      <c r="B38" s="74" t="s">
        <v>99</v>
      </c>
      <c r="C38" s="64"/>
      <c r="D38" s="64"/>
      <c r="E38" s="64"/>
      <c r="F38" s="64"/>
      <c r="G38" s="64"/>
      <c r="H38" s="64"/>
      <c r="I38" s="11"/>
      <c r="J38" s="11" t="s">
        <v>100</v>
      </c>
      <c r="K38" s="26"/>
      <c r="L38" s="26"/>
      <c r="M38" s="26"/>
      <c r="N38" s="26"/>
      <c r="O38" s="26"/>
      <c r="R38" s="75" t="s">
        <v>101</v>
      </c>
      <c r="S38" s="76"/>
      <c r="T38" s="76"/>
      <c r="U38" s="76"/>
      <c r="V38" s="75" t="s">
        <v>102</v>
      </c>
      <c r="W38" s="76"/>
      <c r="X38" s="76"/>
      <c r="Y38" s="76"/>
      <c r="Z38" s="75"/>
    </row>
    <row r="39">
      <c r="A39" s="77" t="s">
        <v>103</v>
      </c>
      <c r="B39" s="65" t="s">
        <v>104</v>
      </c>
      <c r="C39" s="64"/>
      <c r="D39" s="64"/>
      <c r="E39" s="64"/>
      <c r="F39" s="64"/>
      <c r="G39" s="78"/>
      <c r="H39" s="59"/>
      <c r="I39" s="11"/>
      <c r="J39" s="11" t="s">
        <v>105</v>
      </c>
      <c r="K39" s="26"/>
      <c r="L39" s="26"/>
      <c r="M39" s="7"/>
      <c r="N39" s="7"/>
      <c r="O39" s="7"/>
      <c r="R39" s="79" t="s">
        <v>4</v>
      </c>
      <c r="S39" s="79" t="s">
        <v>11</v>
      </c>
      <c r="T39" s="76"/>
      <c r="U39" s="76"/>
      <c r="V39" s="79" t="s">
        <v>106</v>
      </c>
      <c r="W39" s="75" t="s">
        <v>11</v>
      </c>
      <c r="X39" s="75"/>
      <c r="Y39" s="75"/>
      <c r="Z39" s="76"/>
    </row>
    <row r="40" hidden="1">
      <c r="G40" s="80"/>
      <c r="H40" s="81"/>
      <c r="I40" s="81"/>
      <c r="J40" s="81"/>
      <c r="K40" s="80"/>
      <c r="L40" s="80"/>
      <c r="M40" s="81"/>
      <c r="O40" s="81"/>
      <c r="P40" s="81"/>
      <c r="Q40" s="81"/>
      <c r="R40" s="82">
        <f t="shared" ref="R40:R59" si="48">B9*C9</f>
        <v>0</v>
      </c>
      <c r="S40" s="83">
        <f t="shared" ref="S40:S59" si="49">IF(OR(U40="Relay",U40="DSN"),B9*C9,0)</f>
        <v>0</v>
      </c>
      <c r="T40" s="84">
        <f>IFERROR(__xludf.DUMMYFUNCTION("IF(ISBLANK(A9), 0,IF(OR(U40=""Relay"",U40=""DSN""),FILTER(Antennas!$V$6:$V72,Antennas!$U$6:$U72=A9)*$O$5,0))"),5.0E10)</f>
        <v>50000000000</v>
      </c>
      <c r="U40" s="76" t="str">
        <f>IFERROR(__xludf.DUMMYFUNCTION("IF(ISBLANK(A9), """", FILTER(Antennas!$K$6:$K72,Antennas!$U$6:$U72=A9))"),"DSN")</f>
        <v>DSN</v>
      </c>
      <c r="V40" s="82">
        <f t="shared" ref="V40:V59" si="50">F9*G9</f>
        <v>11250000000</v>
      </c>
      <c r="W40" s="82">
        <f t="shared" ref="W40:W59" si="51">IF(OR(Y40="Relay",Y40="DSN"),F9*G9,0)</f>
        <v>0</v>
      </c>
      <c r="X40" s="82">
        <f>IFERROR(__xludf.DUMMYFUNCTION("IF(ISBLANK(E9), 0,IF(OR(Y40=""Relay"",Y40=""DSN""),FILTER(Antennas!$V$6:$V72,Antennas!$U$6:$U72=E9)*$O$5,0))"),0.0)</f>
        <v>0</v>
      </c>
      <c r="Y40" s="76" t="str">
        <f>IFERROR(__xludf.DUMMYFUNCTION("IF(ISBLANK(E9), """", FILTER(Antennas!$K$6:$K72,Antennas!$U$6:$U72=E9))"),"Direct")</f>
        <v>Direct</v>
      </c>
      <c r="Z40" s="76"/>
    </row>
    <row r="41" hidden="1">
      <c r="A41" s="85"/>
      <c r="B41" s="80"/>
      <c r="C41" s="80"/>
      <c r="D41" s="80"/>
      <c r="E41" s="81"/>
      <c r="F41" s="81"/>
      <c r="G41" s="80"/>
      <c r="H41" s="81"/>
      <c r="I41" s="81"/>
      <c r="J41" s="81"/>
      <c r="K41" s="80"/>
      <c r="L41" s="80"/>
      <c r="M41" s="81"/>
      <c r="O41" s="81"/>
      <c r="P41" s="81"/>
      <c r="Q41" s="81"/>
      <c r="R41" s="82">
        <f t="shared" si="48"/>
        <v>0</v>
      </c>
      <c r="S41" s="83">
        <f t="shared" si="49"/>
        <v>0</v>
      </c>
      <c r="T41" s="82">
        <f>IFERROR(__xludf.DUMMYFUNCTION("IF(ISBLANK(A10), 0,IF(OR(U41=""Relay"",U41=""DSN""),FILTER(Antennas!$V$6:$V72,Antennas!$U$6:$U72=A10)*$O$5,0))"),0.0)</f>
        <v>0</v>
      </c>
      <c r="U41" s="76" t="str">
        <f>IFERROR(__xludf.DUMMYFUNCTION("IF(ISBLANK(A10), """", FILTER(Antennas!$K$6:$K72,Antennas!$U$6:$U72=A10))"),"")</f>
        <v/>
      </c>
      <c r="V41" s="82">
        <f t="shared" si="50"/>
        <v>11250000000</v>
      </c>
      <c r="W41" s="82">
        <f t="shared" si="51"/>
        <v>11250000000</v>
      </c>
      <c r="X41" s="84">
        <f>IFERROR(__xludf.DUMMYFUNCTION("IF(ISBLANK(E10), 0,IF(OR(Y41=""Relay"",Y41=""DSN""),FILTER(Antennas!$V$6:$V72,Antennas!$U$6:$U72=E10)*$O$5,0))"),1.5E10)</f>
        <v>15000000000</v>
      </c>
      <c r="Y41" s="76" t="str">
        <f>IFERROR(__xludf.DUMMYFUNCTION("IF(ISBLANK(E10), """", FILTER(Antennas!$K$6:$K72,Antennas!$U$6:$U72=E10))"),"Relay")</f>
        <v>Relay</v>
      </c>
      <c r="Z41" s="76"/>
    </row>
    <row r="42" hidden="1">
      <c r="A42" s="85"/>
      <c r="B42" s="80"/>
      <c r="C42" s="80"/>
      <c r="D42" s="80"/>
      <c r="E42" s="81"/>
      <c r="F42" s="81"/>
      <c r="G42" s="80"/>
      <c r="H42" s="81"/>
      <c r="I42" s="81"/>
      <c r="J42" s="81"/>
      <c r="K42" s="80"/>
      <c r="L42" s="80"/>
      <c r="M42" s="81"/>
      <c r="O42" s="81"/>
      <c r="P42" s="81"/>
      <c r="Q42" s="81"/>
      <c r="R42" s="82">
        <f t="shared" si="48"/>
        <v>0</v>
      </c>
      <c r="S42" s="83">
        <f t="shared" si="49"/>
        <v>0</v>
      </c>
      <c r="T42" s="82">
        <f>IFERROR(__xludf.DUMMYFUNCTION("IF(ISBLANK(A11), 0,IF(OR(U42=""Relay"",U42=""DSN""),FILTER(Antennas!$V$6:$V72,Antennas!$U$6:$U72=A11)*$O$5,0))"),0.0)</f>
        <v>0</v>
      </c>
      <c r="U42" s="76" t="str">
        <f>IFERROR(__xludf.DUMMYFUNCTION("IF(ISBLANK(A11), """", FILTER(Antennas!$K$6:$K72,Antennas!$U$6:$U72=A11))"),"")</f>
        <v/>
      </c>
      <c r="V42" s="82">
        <f t="shared" si="50"/>
        <v>0</v>
      </c>
      <c r="W42" s="82">
        <f t="shared" si="51"/>
        <v>0</v>
      </c>
      <c r="X42" s="82">
        <f>IFERROR(__xludf.DUMMYFUNCTION("IF(ISBLANK(E11), 0,IF(OR(Y42=""Relay"",Y42=""DSN""),FILTER(Antennas!$V$6:$V72,Antennas!$U$6:$U72=E11)*$O$5,0))"),0.0)</f>
        <v>0</v>
      </c>
      <c r="Y42" s="76" t="str">
        <f>IFERROR(__xludf.DUMMYFUNCTION("IF(ISBLANK(E11), """", FILTER(Antennas!$K$6:$K72,Antennas!$U$6:$U72=E11))"),"")</f>
        <v/>
      </c>
      <c r="Z42" s="76"/>
    </row>
    <row r="43" hidden="1">
      <c r="A43" s="85"/>
      <c r="B43" s="80"/>
      <c r="C43" s="80"/>
      <c r="D43" s="80"/>
      <c r="E43" s="81"/>
      <c r="F43" s="81"/>
      <c r="G43" s="80"/>
      <c r="H43" s="81"/>
      <c r="I43" s="81"/>
      <c r="J43" s="81"/>
      <c r="K43" s="80"/>
      <c r="L43" s="80"/>
      <c r="M43" s="81"/>
      <c r="O43" s="81"/>
      <c r="P43" s="81"/>
      <c r="Q43" s="81"/>
      <c r="R43" s="82">
        <f t="shared" si="48"/>
        <v>0</v>
      </c>
      <c r="S43" s="83">
        <f t="shared" si="49"/>
        <v>0</v>
      </c>
      <c r="T43" s="82">
        <f>IFERROR(__xludf.DUMMYFUNCTION("IF(ISBLANK(A12), 0,IF(OR(U43=""Relay"",U43=""DSN""),FILTER(Antennas!$V$6:$V72,Antennas!$U$6:$U72=A12)*$O$5,0))"),0.0)</f>
        <v>0</v>
      </c>
      <c r="U43" s="76" t="str">
        <f>IFERROR(__xludf.DUMMYFUNCTION("IF(ISBLANK(A12), """", FILTER(Antennas!$K$6:$K72,Antennas!$U$6:$U72=A12))"),"")</f>
        <v/>
      </c>
      <c r="V43" s="82">
        <f t="shared" si="50"/>
        <v>0</v>
      </c>
      <c r="W43" s="82">
        <f t="shared" si="51"/>
        <v>0</v>
      </c>
      <c r="X43" s="82">
        <f>IFERROR(__xludf.DUMMYFUNCTION("IF(ISBLANK(E12), 0,IF(OR(Y43=""Relay"",Y43=""DSN""),FILTER(Antennas!$V$6:$V72,Antennas!$U$6:$U72=E12)*$O$5,0))"),0.0)</f>
        <v>0</v>
      </c>
      <c r="Y43" s="76" t="str">
        <f>IFERROR(__xludf.DUMMYFUNCTION("IF(ISBLANK(E12), """", FILTER(Antennas!$K$6:$K72,Antennas!$U$6:$U72=E12))"),"")</f>
        <v/>
      </c>
      <c r="Z43" s="76"/>
    </row>
    <row r="44" hidden="1">
      <c r="A44" s="85"/>
      <c r="B44" s="80"/>
      <c r="C44" s="80"/>
      <c r="D44" s="80"/>
      <c r="E44" s="81"/>
      <c r="F44" s="81"/>
      <c r="G44" s="80"/>
      <c r="H44" s="81"/>
      <c r="I44" s="81"/>
      <c r="J44" s="81"/>
      <c r="K44" s="80"/>
      <c r="L44" s="80"/>
      <c r="M44" s="81"/>
      <c r="O44" s="81"/>
      <c r="P44" s="81"/>
      <c r="Q44" s="81"/>
      <c r="R44" s="82">
        <f t="shared" si="48"/>
        <v>0</v>
      </c>
      <c r="S44" s="83">
        <f t="shared" si="49"/>
        <v>0</v>
      </c>
      <c r="T44" s="82">
        <f>IFERROR(__xludf.DUMMYFUNCTION("IF(ISBLANK(A13), 0,IF(OR(U44=""Relay"",U44=""DSN""),FILTER(Antennas!$V$6:$V72,Antennas!$U$6:$U72=A13)*$O$5,0))"),0.0)</f>
        <v>0</v>
      </c>
      <c r="U44" s="76" t="str">
        <f>IFERROR(__xludf.DUMMYFUNCTION("IF(ISBLANK(A13), """", FILTER(Antennas!$K$6:$K72,Antennas!$U$6:$U72=A13))"),"")</f>
        <v/>
      </c>
      <c r="V44" s="82">
        <f t="shared" si="50"/>
        <v>0</v>
      </c>
      <c r="W44" s="82">
        <f t="shared" si="51"/>
        <v>0</v>
      </c>
      <c r="X44" s="82">
        <f>IFERROR(__xludf.DUMMYFUNCTION("IF(ISBLANK(E13), 0,IF(OR(Y44=""Relay"",Y44=""DSN""),FILTER(Antennas!$V$6:$V72,Antennas!$U$6:$U72=E13)*$O$5,0))"),0.0)</f>
        <v>0</v>
      </c>
      <c r="Y44" s="76" t="str">
        <f>IFERROR(__xludf.DUMMYFUNCTION("IF(ISBLANK(E13), """", FILTER(Antennas!$K$6:$K72,Antennas!$U$6:$U72=E13))"),"")</f>
        <v/>
      </c>
      <c r="Z44" s="76"/>
    </row>
    <row r="45" hidden="1">
      <c r="A45" s="85"/>
      <c r="B45" s="80"/>
      <c r="C45" s="80"/>
      <c r="D45" s="80"/>
      <c r="E45" s="81"/>
      <c r="F45" s="81"/>
      <c r="G45" s="80"/>
      <c r="H45" s="81"/>
      <c r="I45" s="81"/>
      <c r="J45" s="81"/>
      <c r="K45" s="80"/>
      <c r="L45" s="80"/>
      <c r="M45" s="81"/>
      <c r="O45" s="81"/>
      <c r="P45" s="81"/>
      <c r="Q45" s="81"/>
      <c r="R45" s="82">
        <f t="shared" si="48"/>
        <v>0</v>
      </c>
      <c r="S45" s="83">
        <f t="shared" si="49"/>
        <v>0</v>
      </c>
      <c r="T45" s="82">
        <f>IFERROR(__xludf.DUMMYFUNCTION("IF(ISBLANK(A14), 0,IF(OR(U45=""Relay"",U45=""DSN""),FILTER(Antennas!$V$6:$V72,Antennas!$U$6:$U72=A14)*$O$5,0))"),0.0)</f>
        <v>0</v>
      </c>
      <c r="U45" s="76" t="str">
        <f>IFERROR(__xludf.DUMMYFUNCTION("IF(ISBLANK(A14), """", FILTER(Antennas!$K$6:$K72,Antennas!$U$6:$U72=A14))"),"")</f>
        <v/>
      </c>
      <c r="V45" s="82">
        <f t="shared" si="50"/>
        <v>0</v>
      </c>
      <c r="W45" s="82">
        <f t="shared" si="51"/>
        <v>0</v>
      </c>
      <c r="X45" s="82">
        <f>IFERROR(__xludf.DUMMYFUNCTION("IF(ISBLANK(E14), 0,IF(OR(Y45=""Relay"",Y45=""DSN""),FILTER(Antennas!$V$6:$V72,Antennas!$U$6:$U72=E14)*$O$5,0))"),0.0)</f>
        <v>0</v>
      </c>
      <c r="Y45" s="76" t="str">
        <f>IFERROR(__xludf.DUMMYFUNCTION("IF(ISBLANK(E14), """", FILTER(Antennas!$K$6:$K72,Antennas!$U$6:$U72=E14))"),"")</f>
        <v/>
      </c>
      <c r="Z45" s="76"/>
    </row>
    <row r="46" hidden="1">
      <c r="A46" s="85"/>
      <c r="B46" s="80"/>
      <c r="C46" s="80"/>
      <c r="D46" s="80"/>
      <c r="E46" s="81"/>
      <c r="F46" s="81"/>
      <c r="G46" s="80"/>
      <c r="H46" s="81"/>
      <c r="I46" s="81"/>
      <c r="J46" s="81"/>
      <c r="K46" s="80"/>
      <c r="L46" s="80"/>
      <c r="M46" s="81"/>
      <c r="O46" s="81"/>
      <c r="P46" s="81"/>
      <c r="Q46" s="81"/>
      <c r="R46" s="82">
        <f t="shared" si="48"/>
        <v>0</v>
      </c>
      <c r="S46" s="83">
        <f t="shared" si="49"/>
        <v>0</v>
      </c>
      <c r="T46" s="82">
        <f>IFERROR(__xludf.DUMMYFUNCTION("IF(ISBLANK(A15), 0,IF(OR(U46=""Relay"",U46=""DSN""),FILTER(Antennas!$V$6:$V72,Antennas!$U$6:$U72=A15)*$O$5,0))"),0.0)</f>
        <v>0</v>
      </c>
      <c r="U46" s="76" t="str">
        <f>IFERROR(__xludf.DUMMYFUNCTION("IF(ISBLANK(A15), """", FILTER(Antennas!$K$6:$K72,Antennas!$U$6:$U72=A15))"),"")</f>
        <v/>
      </c>
      <c r="V46" s="82">
        <f t="shared" si="50"/>
        <v>0</v>
      </c>
      <c r="W46" s="82">
        <f t="shared" si="51"/>
        <v>0</v>
      </c>
      <c r="X46" s="82">
        <f>IFERROR(__xludf.DUMMYFUNCTION("IF(ISBLANK(E15), 0,IF(OR(Y46=""Relay"",Y46=""DSN""),FILTER(Antennas!$V$6:$V72,Antennas!$U$6:$U72=E15)*$O$5,0))"),0.0)</f>
        <v>0</v>
      </c>
      <c r="Y46" s="76" t="str">
        <f>IFERROR(__xludf.DUMMYFUNCTION("IF(ISBLANK(E15), """", FILTER(Antennas!$K$6:$K72,Antennas!$U$6:$U72=E15))"),"")</f>
        <v/>
      </c>
      <c r="Z46" s="76"/>
    </row>
    <row r="47" hidden="1">
      <c r="A47" s="85"/>
      <c r="B47" s="80"/>
      <c r="C47" s="80"/>
      <c r="D47" s="80"/>
      <c r="E47" s="81"/>
      <c r="F47" s="81"/>
      <c r="G47" s="80"/>
      <c r="H47" s="81"/>
      <c r="I47" s="81"/>
      <c r="J47" s="81"/>
      <c r="K47" s="80"/>
      <c r="L47" s="80"/>
      <c r="M47" s="81"/>
      <c r="O47" s="81"/>
      <c r="P47" s="81"/>
      <c r="Q47" s="81"/>
      <c r="R47" s="82">
        <f t="shared" si="48"/>
        <v>0</v>
      </c>
      <c r="S47" s="83">
        <f t="shared" si="49"/>
        <v>0</v>
      </c>
      <c r="T47" s="82">
        <f>IFERROR(__xludf.DUMMYFUNCTION("IF(ISBLANK(A16), 0,IF(OR(U47=""Relay"",U47=""DSN""),FILTER(Antennas!$V$6:$V72,Antennas!$U$6:$U72=A16)*$O$5,0))"),0.0)</f>
        <v>0</v>
      </c>
      <c r="U47" s="76" t="str">
        <f>IFERROR(__xludf.DUMMYFUNCTION("IF(ISBLANK(A16), """", FILTER(Antennas!$K$6:$K72,Antennas!$U$6:$U72=A16))"),"")</f>
        <v/>
      </c>
      <c r="V47" s="82">
        <f t="shared" si="50"/>
        <v>0</v>
      </c>
      <c r="W47" s="82">
        <f t="shared" si="51"/>
        <v>0</v>
      </c>
      <c r="X47" s="82">
        <f>IFERROR(__xludf.DUMMYFUNCTION("IF(ISBLANK(E16), 0,IF(OR(Y47=""Relay"",Y47=""DSN""),FILTER(Antennas!$V$6:$V72,Antennas!$U$6:$U72=E16)*$O$5,0))"),0.0)</f>
        <v>0</v>
      </c>
      <c r="Y47" s="76" t="str">
        <f>IFERROR(__xludf.DUMMYFUNCTION("IF(ISBLANK(E16), """", FILTER(Antennas!$K$6:$K72,Antennas!$U$6:$U72=E16))"),"")</f>
        <v/>
      </c>
      <c r="Z47" s="76"/>
    </row>
    <row r="48" hidden="1">
      <c r="A48" s="85"/>
      <c r="B48" s="80"/>
      <c r="C48" s="80"/>
      <c r="D48" s="80"/>
      <c r="E48" s="81"/>
      <c r="F48" s="81"/>
      <c r="G48" s="80"/>
      <c r="H48" s="81"/>
      <c r="I48" s="81"/>
      <c r="J48" s="81"/>
      <c r="K48" s="80"/>
      <c r="L48" s="80"/>
      <c r="M48" s="81"/>
      <c r="O48" s="81"/>
      <c r="P48" s="81"/>
      <c r="Q48" s="81"/>
      <c r="R48" s="82">
        <f t="shared" si="48"/>
        <v>0</v>
      </c>
      <c r="S48" s="83">
        <f t="shared" si="49"/>
        <v>0</v>
      </c>
      <c r="T48" s="82">
        <f>IFERROR(__xludf.DUMMYFUNCTION("IF(ISBLANK(A17), 0,IF(OR(U48=""Relay"",U48=""DSN""),FILTER(Antennas!$V$6:$V72,Antennas!$U$6:$U72=A17)*$O$5,0))"),0.0)</f>
        <v>0</v>
      </c>
      <c r="U48" s="76" t="str">
        <f>IFERROR(__xludf.DUMMYFUNCTION("IF(ISBLANK(A17), """", FILTER(Antennas!$K$6:$K72,Antennas!$U$6:$U72=A17))"),"")</f>
        <v/>
      </c>
      <c r="V48" s="82">
        <f t="shared" si="50"/>
        <v>0</v>
      </c>
      <c r="W48" s="82">
        <f t="shared" si="51"/>
        <v>0</v>
      </c>
      <c r="X48" s="82">
        <f>IFERROR(__xludf.DUMMYFUNCTION("IF(ISBLANK(E17), 0,IF(OR(Y48=""Relay"",Y48=""DSN""),FILTER(Antennas!$V$6:$V72,Antennas!$U$6:$U72=E17)*$O$5,0))"),0.0)</f>
        <v>0</v>
      </c>
      <c r="Y48" s="76" t="str">
        <f>IFERROR(__xludf.DUMMYFUNCTION("IF(ISBLANK(E17), """", FILTER(Antennas!$K$6:$K72,Antennas!$U$6:$U72=E17))"),"")</f>
        <v/>
      </c>
      <c r="Z48" s="76"/>
    </row>
    <row r="49" hidden="1">
      <c r="A49" s="85"/>
      <c r="B49" s="80"/>
      <c r="C49" s="80"/>
      <c r="D49" s="80"/>
      <c r="E49" s="81"/>
      <c r="F49" s="81"/>
      <c r="G49" s="80"/>
      <c r="H49" s="81"/>
      <c r="I49" s="81"/>
      <c r="J49" s="81"/>
      <c r="K49" s="80"/>
      <c r="L49" s="80"/>
      <c r="M49" s="81"/>
      <c r="O49" s="81"/>
      <c r="P49" s="81"/>
      <c r="Q49" s="81"/>
      <c r="R49" s="82">
        <f t="shared" si="48"/>
        <v>0</v>
      </c>
      <c r="S49" s="83">
        <f t="shared" si="49"/>
        <v>0</v>
      </c>
      <c r="T49" s="82">
        <f>IFERROR(__xludf.DUMMYFUNCTION("IF(ISBLANK(A18), 0,IF(OR(U49=""Relay"",U49=""DSN""),FILTER(Antennas!$V$6:$V72,Antennas!$U$6:$U72=A18)*$O$5,0))"),0.0)</f>
        <v>0</v>
      </c>
      <c r="U49" s="76" t="str">
        <f>IFERROR(__xludf.DUMMYFUNCTION("IF(ISBLANK(A18), """", FILTER(Antennas!$K$6:$K72,Antennas!$U$6:$U72=A18))"),"")</f>
        <v/>
      </c>
      <c r="V49" s="82">
        <f t="shared" si="50"/>
        <v>0</v>
      </c>
      <c r="W49" s="82">
        <f t="shared" si="51"/>
        <v>0</v>
      </c>
      <c r="X49" s="82">
        <f>IFERROR(__xludf.DUMMYFUNCTION("IF(ISBLANK(E18), 0,IF(OR(Y49=""Relay"",Y49=""DSN""),FILTER(Antennas!$V$6:$V72,Antennas!$U$6:$U72=E18)*$O$5,0))"),0.0)</f>
        <v>0</v>
      </c>
      <c r="Y49" s="76" t="str">
        <f>IFERROR(__xludf.DUMMYFUNCTION("IF(ISBLANK(E18), """", FILTER(Antennas!$K$6:$K72,Antennas!$U$6:$U72=E18))"),"")</f>
        <v/>
      </c>
      <c r="Z49" s="76"/>
    </row>
    <row r="50" hidden="1">
      <c r="A50" s="85"/>
      <c r="B50" s="80"/>
      <c r="C50" s="80"/>
      <c r="D50" s="80"/>
      <c r="E50" s="81"/>
      <c r="F50" s="81"/>
      <c r="G50" s="80"/>
      <c r="H50" s="81"/>
      <c r="I50" s="81"/>
      <c r="J50" s="81"/>
      <c r="K50" s="80"/>
      <c r="L50" s="80"/>
      <c r="M50" s="81"/>
      <c r="O50" s="81"/>
      <c r="P50" s="81"/>
      <c r="Q50" s="81"/>
      <c r="R50" s="82">
        <f t="shared" si="48"/>
        <v>0</v>
      </c>
      <c r="S50" s="83">
        <f t="shared" si="49"/>
        <v>0</v>
      </c>
      <c r="T50" s="82">
        <f>IFERROR(__xludf.DUMMYFUNCTION("IF(ISBLANK(A19), 0,IF(OR(U50=""Relay"",U50=""DSN""),FILTER(Antennas!$V$6:$V72,Antennas!$U$6:$U72=A19)*$O$5,0))"),0.0)</f>
        <v>0</v>
      </c>
      <c r="U50" s="76" t="str">
        <f>IFERROR(__xludf.DUMMYFUNCTION("IF(ISBLANK(A19), """", FILTER(Antennas!$K$6:$K72,Antennas!$U$6:$U72=A19))"),"")</f>
        <v/>
      </c>
      <c r="V50" s="82">
        <f t="shared" si="50"/>
        <v>0</v>
      </c>
      <c r="W50" s="82">
        <f t="shared" si="51"/>
        <v>0</v>
      </c>
      <c r="X50" s="82">
        <f>IFERROR(__xludf.DUMMYFUNCTION("IF(ISBLANK(E19), 0,IF(OR(Y50=""Relay"",Y50=""DSN""),FILTER(Antennas!$V$6:$V72,Antennas!$U$6:$U72=E19)*$O$5,0))"),0.0)</f>
        <v>0</v>
      </c>
      <c r="Y50" s="76" t="str">
        <f>IFERROR(__xludf.DUMMYFUNCTION("IF(ISBLANK(E19), """", FILTER(Antennas!$K$6:$K72,Antennas!$U$6:$U72=E19))"),"")</f>
        <v/>
      </c>
      <c r="Z50" s="76"/>
    </row>
    <row r="51" hidden="1">
      <c r="A51" s="85"/>
      <c r="B51" s="80"/>
      <c r="C51" s="80"/>
      <c r="D51" s="80"/>
      <c r="E51" s="81"/>
      <c r="F51" s="81"/>
      <c r="G51" s="80"/>
      <c r="H51" s="81"/>
      <c r="I51" s="81"/>
      <c r="J51" s="81"/>
      <c r="K51" s="80"/>
      <c r="L51" s="80"/>
      <c r="M51" s="81"/>
      <c r="O51" s="81"/>
      <c r="P51" s="81"/>
      <c r="Q51" s="81"/>
      <c r="R51" s="82">
        <f t="shared" si="48"/>
        <v>0</v>
      </c>
      <c r="S51" s="83">
        <f t="shared" si="49"/>
        <v>0</v>
      </c>
      <c r="T51" s="82">
        <f>IFERROR(__xludf.DUMMYFUNCTION("IF(ISBLANK(A20), 0,IF(OR(U51=""Relay"",U51=""DSN""),FILTER(Antennas!$V$6:$V72,Antennas!$U$6:$U72=A20)*$O$5,0))"),0.0)</f>
        <v>0</v>
      </c>
      <c r="U51" s="76" t="str">
        <f>IFERROR(__xludf.DUMMYFUNCTION("IF(ISBLANK(A20), """", FILTER(Antennas!$K$6:$K72,Antennas!$U$6:$U72=A20))"),"")</f>
        <v/>
      </c>
      <c r="V51" s="82">
        <f t="shared" si="50"/>
        <v>0</v>
      </c>
      <c r="W51" s="82">
        <f t="shared" si="51"/>
        <v>0</v>
      </c>
      <c r="X51" s="82">
        <f>IFERROR(__xludf.DUMMYFUNCTION("IF(ISBLANK(E20), 0,IF(OR(Y51=""Relay"",Y51=""DSN""),FILTER(Antennas!$V$6:$V72,Antennas!$U$6:$U72=E20)*$O$5,0))"),0.0)</f>
        <v>0</v>
      </c>
      <c r="Y51" s="76" t="str">
        <f>IFERROR(__xludf.DUMMYFUNCTION("IF(ISBLANK(E20), """", FILTER(Antennas!$K$6:$K72,Antennas!$U$6:$U72=E20))"),"")</f>
        <v/>
      </c>
      <c r="Z51" s="76"/>
    </row>
    <row r="52" hidden="1">
      <c r="A52" s="85"/>
      <c r="B52" s="80"/>
      <c r="C52" s="80"/>
      <c r="D52" s="80"/>
      <c r="E52" s="81"/>
      <c r="F52" s="81"/>
      <c r="G52" s="80"/>
      <c r="H52" s="81"/>
      <c r="I52" s="81"/>
      <c r="J52" s="81"/>
      <c r="K52" s="80"/>
      <c r="L52" s="80"/>
      <c r="M52" s="81"/>
      <c r="O52" s="81"/>
      <c r="P52" s="81"/>
      <c r="Q52" s="81"/>
      <c r="R52" s="82">
        <f t="shared" si="48"/>
        <v>0</v>
      </c>
      <c r="S52" s="83">
        <f t="shared" si="49"/>
        <v>0</v>
      </c>
      <c r="T52" s="82">
        <f>IFERROR(__xludf.DUMMYFUNCTION("IF(ISBLANK(A21), 0,IF(OR(U52=""Relay"",U52=""DSN""),FILTER(Antennas!$V$6:$V72,Antennas!$U$6:$U72=A21)*$O$5,0))"),0.0)</f>
        <v>0</v>
      </c>
      <c r="U52" s="76" t="str">
        <f>IFERROR(__xludf.DUMMYFUNCTION("IF(ISBLANK(A21), """", FILTER(Antennas!$K$6:$K72,Antennas!$U$6:$U72=A21))"),"")</f>
        <v/>
      </c>
      <c r="V52" s="82">
        <f t="shared" si="50"/>
        <v>0</v>
      </c>
      <c r="W52" s="82">
        <f t="shared" si="51"/>
        <v>0</v>
      </c>
      <c r="X52" s="82">
        <f>IFERROR(__xludf.DUMMYFUNCTION("IF(ISBLANK(E21), 0,IF(OR(Y52=""Relay"",Y52=""DSN""),FILTER(Antennas!$V$6:$V72,Antennas!$U$6:$U72=E21)*$O$5,0))"),0.0)</f>
        <v>0</v>
      </c>
      <c r="Y52" s="76" t="str">
        <f>IFERROR(__xludf.DUMMYFUNCTION("IF(ISBLANK(E21), """", FILTER(Antennas!$K$6:$K72,Antennas!$U$6:$U72=E21))"),"")</f>
        <v/>
      </c>
      <c r="Z52" s="76"/>
    </row>
    <row r="53" hidden="1">
      <c r="A53" s="85"/>
      <c r="B53" s="80"/>
      <c r="C53" s="80"/>
      <c r="D53" s="80"/>
      <c r="E53" s="81"/>
      <c r="F53" s="81"/>
      <c r="G53" s="80"/>
      <c r="H53" s="81"/>
      <c r="I53" s="81"/>
      <c r="J53" s="81"/>
      <c r="K53" s="80"/>
      <c r="L53" s="80"/>
      <c r="M53" s="81"/>
      <c r="O53" s="81"/>
      <c r="P53" s="81"/>
      <c r="Q53" s="81"/>
      <c r="R53" s="82">
        <f t="shared" si="48"/>
        <v>0</v>
      </c>
      <c r="S53" s="83">
        <f t="shared" si="49"/>
        <v>0</v>
      </c>
      <c r="T53" s="82">
        <f>IFERROR(__xludf.DUMMYFUNCTION("IF(ISBLANK(A22), 0,IF(OR(U53=""Relay"",U53=""DSN""),FILTER(Antennas!$V$6:$V72,Antennas!$U$6:$U72=A22)*$O$5,0))"),0.0)</f>
        <v>0</v>
      </c>
      <c r="U53" s="76" t="str">
        <f>IFERROR(__xludf.DUMMYFUNCTION("IF(ISBLANK(A22), """", FILTER(Antennas!$K$6:$K72,Antennas!$U$6:$U72=A22))"),"")</f>
        <v/>
      </c>
      <c r="V53" s="82">
        <f t="shared" si="50"/>
        <v>0</v>
      </c>
      <c r="W53" s="82">
        <f t="shared" si="51"/>
        <v>0</v>
      </c>
      <c r="X53" s="82">
        <f>IFERROR(__xludf.DUMMYFUNCTION("IF(ISBLANK(E22), 0,IF(OR(Y53=""Relay"",Y53=""DSN""),FILTER(Antennas!$V$6:$V72,Antennas!$U$6:$U72=E22)*$O$5,0))"),0.0)</f>
        <v>0</v>
      </c>
      <c r="Y53" s="76" t="str">
        <f>IFERROR(__xludf.DUMMYFUNCTION("IF(ISBLANK(E22), """", FILTER(Antennas!$K$6:$K72,Antennas!$U$6:$U72=E22))"),"")</f>
        <v/>
      </c>
      <c r="Z53" s="76"/>
    </row>
    <row r="54" hidden="1">
      <c r="A54" s="85"/>
      <c r="B54" s="80"/>
      <c r="C54" s="80"/>
      <c r="D54" s="80"/>
      <c r="E54" s="81"/>
      <c r="F54" s="81"/>
      <c r="G54" s="80"/>
      <c r="H54" s="81"/>
      <c r="I54" s="81"/>
      <c r="J54" s="81"/>
      <c r="K54" s="80"/>
      <c r="L54" s="80"/>
      <c r="M54" s="81"/>
      <c r="O54" s="81"/>
      <c r="P54" s="81"/>
      <c r="Q54" s="81"/>
      <c r="R54" s="82">
        <f t="shared" si="48"/>
        <v>0</v>
      </c>
      <c r="S54" s="83">
        <f t="shared" si="49"/>
        <v>0</v>
      </c>
      <c r="T54" s="82">
        <f>IFERROR(__xludf.DUMMYFUNCTION("IF(ISBLANK(A23), 0,IF(OR(U54=""Relay"",U54=""DSN""),FILTER(Antennas!$V$6:$V72,Antennas!$U$6:$U72=A23)*$O$5,0))"),0.0)</f>
        <v>0</v>
      </c>
      <c r="U54" s="76" t="str">
        <f>IFERROR(__xludf.DUMMYFUNCTION("IF(ISBLANK(A23), """", FILTER(Antennas!$K$6:$K72,Antennas!$U$6:$U72=A23))"),"")</f>
        <v/>
      </c>
      <c r="V54" s="82">
        <f t="shared" si="50"/>
        <v>0</v>
      </c>
      <c r="W54" s="82">
        <f t="shared" si="51"/>
        <v>0</v>
      </c>
      <c r="X54" s="82">
        <f>IFERROR(__xludf.DUMMYFUNCTION("IF(ISBLANK(E23), 0,IF(OR(Y54=""Relay"",Y54=""DSN""),FILTER(Antennas!$V$6:$V72,Antennas!$U$6:$U72=E23)*$O$5,0))"),0.0)</f>
        <v>0</v>
      </c>
      <c r="Y54" s="76" t="str">
        <f>IFERROR(__xludf.DUMMYFUNCTION("IF(ISBLANK(E23), """", FILTER(Antennas!$K$6:$K72,Antennas!$U$6:$U72=E23))"),"")</f>
        <v/>
      </c>
      <c r="Z54" s="76"/>
    </row>
    <row r="55" hidden="1">
      <c r="A55" s="85"/>
      <c r="B55" s="80"/>
      <c r="C55" s="80"/>
      <c r="D55" s="80"/>
      <c r="E55" s="81"/>
      <c r="F55" s="81"/>
      <c r="G55" s="80"/>
      <c r="H55" s="81"/>
      <c r="I55" s="81"/>
      <c r="J55" s="81"/>
      <c r="K55" s="80"/>
      <c r="L55" s="80"/>
      <c r="M55" s="81"/>
      <c r="O55" s="81"/>
      <c r="P55" s="81"/>
      <c r="Q55" s="81"/>
      <c r="R55" s="82">
        <f t="shared" si="48"/>
        <v>0</v>
      </c>
      <c r="S55" s="83">
        <f t="shared" si="49"/>
        <v>0</v>
      </c>
      <c r="T55" s="82">
        <f>IFERROR(__xludf.DUMMYFUNCTION("IF(ISBLANK(A24), 0,IF(OR(U55=""Relay"",U55=""DSN""),FILTER(Antennas!$V$6:$V72,Antennas!$U$6:$U72=A24)*$O$5,0))"),0.0)</f>
        <v>0</v>
      </c>
      <c r="U55" s="76" t="str">
        <f>IFERROR(__xludf.DUMMYFUNCTION("IF(ISBLANK(A24), """", FILTER(Antennas!$K$6:$K72,Antennas!$U$6:$U72=A24))"),"")</f>
        <v/>
      </c>
      <c r="V55" s="82">
        <f t="shared" si="50"/>
        <v>0</v>
      </c>
      <c r="W55" s="82">
        <f t="shared" si="51"/>
        <v>0</v>
      </c>
      <c r="X55" s="82">
        <f>IFERROR(__xludf.DUMMYFUNCTION("IF(ISBLANK(E24), 0,IF(OR(Y55=""Relay"",Y55=""DSN""),FILTER(Antennas!$V$6:$V72,Antennas!$U$6:$U72=E24)*$O$5,0))"),0.0)</f>
        <v>0</v>
      </c>
      <c r="Y55" s="76" t="str">
        <f>IFERROR(__xludf.DUMMYFUNCTION("IF(ISBLANK(E24), """", FILTER(Antennas!$K$6:$K72,Antennas!$U$6:$U72=E24))"),"")</f>
        <v/>
      </c>
      <c r="Z55" s="76"/>
    </row>
    <row r="56" hidden="1">
      <c r="A56" s="85"/>
      <c r="B56" s="80"/>
      <c r="C56" s="80"/>
      <c r="D56" s="80"/>
      <c r="E56" s="81"/>
      <c r="F56" s="81"/>
      <c r="G56" s="80"/>
      <c r="H56" s="81"/>
      <c r="I56" s="81"/>
      <c r="J56" s="81"/>
      <c r="K56" s="80"/>
      <c r="L56" s="80"/>
      <c r="M56" s="81"/>
      <c r="O56" s="81"/>
      <c r="P56" s="81"/>
      <c r="Q56" s="81"/>
      <c r="R56" s="82">
        <f t="shared" si="48"/>
        <v>0</v>
      </c>
      <c r="S56" s="83">
        <f t="shared" si="49"/>
        <v>0</v>
      </c>
      <c r="T56" s="82">
        <f>IFERROR(__xludf.DUMMYFUNCTION("IF(ISBLANK(A25), 0,IF(OR(U56=""Relay"",U56=""DSN""),FILTER(Antennas!$V$6:$V72,Antennas!$U$6:$U72=A25)*$O$5,0))"),0.0)</f>
        <v>0</v>
      </c>
      <c r="U56" s="76" t="str">
        <f>IFERROR(__xludf.DUMMYFUNCTION("IF(ISBLANK(A25), """", FILTER(Antennas!$K$6:$K72,Antennas!$U$6:$U72=A25))"),"")</f>
        <v/>
      </c>
      <c r="V56" s="82">
        <f t="shared" si="50"/>
        <v>0</v>
      </c>
      <c r="W56" s="82">
        <f t="shared" si="51"/>
        <v>0</v>
      </c>
      <c r="X56" s="82">
        <f>IFERROR(__xludf.DUMMYFUNCTION("IF(ISBLANK(E25), 0,IF(OR(Y56=""Relay"",Y56=""DSN""),FILTER(Antennas!$V$6:$V72,Antennas!$U$6:$U72=E25)*$O$5,0))"),0.0)</f>
        <v>0</v>
      </c>
      <c r="Y56" s="76" t="str">
        <f>IFERROR(__xludf.DUMMYFUNCTION("IF(ISBLANK(E25), """", FILTER(Antennas!$K$6:$K72,Antennas!$U$6:$U72=E25))"),"")</f>
        <v/>
      </c>
      <c r="Z56" s="76"/>
    </row>
    <row r="57" hidden="1">
      <c r="A57" s="85"/>
      <c r="B57" s="80"/>
      <c r="C57" s="80"/>
      <c r="D57" s="80"/>
      <c r="E57" s="81"/>
      <c r="F57" s="81"/>
      <c r="G57" s="80"/>
      <c r="H57" s="81"/>
      <c r="I57" s="81"/>
      <c r="J57" s="81"/>
      <c r="K57" s="80"/>
      <c r="L57" s="80"/>
      <c r="M57" s="81"/>
      <c r="O57" s="81"/>
      <c r="P57" s="81"/>
      <c r="Q57" s="81"/>
      <c r="R57" s="82">
        <f t="shared" si="48"/>
        <v>0</v>
      </c>
      <c r="S57" s="83">
        <f t="shared" si="49"/>
        <v>0</v>
      </c>
      <c r="T57" s="82">
        <f>IFERROR(__xludf.DUMMYFUNCTION("IF(ISBLANK(A26), 0,IF(OR(U57=""Relay"",U57=""DSN""),FILTER(Antennas!$V$6:$V72,Antennas!$U$6:$U72=A26)*$O$5,0))"),0.0)</f>
        <v>0</v>
      </c>
      <c r="U57" s="76" t="str">
        <f>IFERROR(__xludf.DUMMYFUNCTION("IF(ISBLANK(A26), """", FILTER(Antennas!$K$6:$K72,Antennas!$U$6:$U72=A26))"),"")</f>
        <v/>
      </c>
      <c r="V57" s="82">
        <f t="shared" si="50"/>
        <v>0</v>
      </c>
      <c r="W57" s="82">
        <f t="shared" si="51"/>
        <v>0</v>
      </c>
      <c r="X57" s="82">
        <f>IFERROR(__xludf.DUMMYFUNCTION("IF(ISBLANK(E26), 0,IF(OR(Y57=""Relay"",Y57=""DSN""),FILTER(Antennas!$V$6:$V72,Antennas!$U$6:$U72=E26)*$O$5,0))"),0.0)</f>
        <v>0</v>
      </c>
      <c r="Y57" s="76" t="str">
        <f>IFERROR(__xludf.DUMMYFUNCTION("IF(ISBLANK(E26), """", FILTER(Antennas!$K$6:$K72,Antennas!$U$6:$U72=E26))"),"")</f>
        <v/>
      </c>
      <c r="Z57" s="76"/>
    </row>
    <row r="58" hidden="1">
      <c r="A58" s="85"/>
      <c r="B58" s="80"/>
      <c r="C58" s="80"/>
      <c r="D58" s="80"/>
      <c r="E58" s="81"/>
      <c r="F58" s="81"/>
      <c r="G58" s="80"/>
      <c r="H58" s="81"/>
      <c r="I58" s="81"/>
      <c r="J58" s="81"/>
      <c r="K58" s="80"/>
      <c r="L58" s="80"/>
      <c r="M58" s="81"/>
      <c r="O58" s="81"/>
      <c r="P58" s="81"/>
      <c r="Q58" s="81"/>
      <c r="R58" s="82">
        <f t="shared" si="48"/>
        <v>0</v>
      </c>
      <c r="S58" s="83">
        <f t="shared" si="49"/>
        <v>0</v>
      </c>
      <c r="T58" s="82">
        <f>IFERROR(__xludf.DUMMYFUNCTION("IF(ISBLANK(A27), 0,IF(OR(U58=""Relay"",U58=""DSN""),FILTER(Antennas!$V$6:$V72,Antennas!$U$6:$U72=A27)*$O$5,0))"),0.0)</f>
        <v>0</v>
      </c>
      <c r="U58" s="76" t="str">
        <f>IFERROR(__xludf.DUMMYFUNCTION("IF(ISBLANK(A27), """", FILTER(Antennas!$K$6:$K72,Antennas!$U$6:$U72=A27))"),"")</f>
        <v/>
      </c>
      <c r="V58" s="82">
        <f t="shared" si="50"/>
        <v>0</v>
      </c>
      <c r="W58" s="82">
        <f t="shared" si="51"/>
        <v>0</v>
      </c>
      <c r="X58" s="82">
        <f>IFERROR(__xludf.DUMMYFUNCTION("IF(ISBLANK(E27), 0,IF(OR(Y58=""Relay"",Y58=""DSN""),FILTER(Antennas!$V$6:$V72,Antennas!$U$6:$U72=E27)*$O$5,0))"),0.0)</f>
        <v>0</v>
      </c>
      <c r="Y58" s="76" t="str">
        <f>IFERROR(__xludf.DUMMYFUNCTION("IF(ISBLANK(E27), """", FILTER(Antennas!$K$6:$K72,Antennas!$U$6:$U72=E27))"),"")</f>
        <v/>
      </c>
      <c r="Z58" s="76"/>
    </row>
    <row r="59" hidden="1">
      <c r="A59" s="85"/>
      <c r="B59" s="80"/>
      <c r="C59" s="80"/>
      <c r="D59" s="80"/>
      <c r="E59" s="81"/>
      <c r="F59" s="81"/>
      <c r="G59" s="80"/>
      <c r="H59" s="81"/>
      <c r="I59" s="81"/>
      <c r="J59" s="81"/>
      <c r="K59" s="80"/>
      <c r="L59" s="80"/>
      <c r="M59" s="81"/>
      <c r="O59" s="81"/>
      <c r="P59" s="81"/>
      <c r="Q59" s="81"/>
      <c r="R59" s="82">
        <f t="shared" si="48"/>
        <v>0</v>
      </c>
      <c r="S59" s="83">
        <f t="shared" si="49"/>
        <v>0</v>
      </c>
      <c r="T59" s="82">
        <f>IFERROR(__xludf.DUMMYFUNCTION("IF(ISBLANK(A28), 0,IF(OR(U59=""Relay"",U59=""DSN""),FILTER(Antennas!$V$6:$V72,Antennas!$U$6:$U72=A28)*$O$5,0))"),0.0)</f>
        <v>0</v>
      </c>
      <c r="U59" s="76" t="str">
        <f>IFERROR(__xludf.DUMMYFUNCTION("IF(ISBLANK(A28), """", FILTER(Antennas!$K$6:$K72,Antennas!$U$6:$U72=A28))"),"")</f>
        <v/>
      </c>
      <c r="V59" s="82">
        <f t="shared" si="50"/>
        <v>0</v>
      </c>
      <c r="W59" s="82">
        <f t="shared" si="51"/>
        <v>0</v>
      </c>
      <c r="X59" s="82">
        <f>IFERROR(__xludf.DUMMYFUNCTION("IF(ISBLANK(E28), 0,IF(OR(Y59=""Relay"",Y59=""DSN""),FILTER(Antennas!$V$6:$V72,Antennas!$U$6:$U72=E28)*$O$5,0))"),0.0)</f>
        <v>0</v>
      </c>
      <c r="Y59" s="76" t="str">
        <f>IFERROR(__xludf.DUMMYFUNCTION("IF(ISBLANK(E28), """", FILTER(Antennas!$K$6:$K72,Antennas!$U$6:$U72=E28))"),"")</f>
        <v/>
      </c>
      <c r="Z59" s="76"/>
    </row>
    <row r="60" hidden="1">
      <c r="A60" s="85"/>
      <c r="B60" s="80"/>
      <c r="C60" s="80"/>
      <c r="D60" s="80"/>
      <c r="E60" s="81"/>
      <c r="F60" s="81"/>
      <c r="G60" s="80"/>
      <c r="H60" s="81"/>
      <c r="I60" s="81"/>
      <c r="J60" s="81"/>
      <c r="K60" s="80"/>
      <c r="L60" s="80"/>
      <c r="M60" s="81"/>
      <c r="O60" s="81"/>
      <c r="P60" s="81"/>
      <c r="Q60" s="81"/>
      <c r="R60" s="86"/>
      <c r="S60" s="76"/>
      <c r="T60" s="76"/>
      <c r="U60" s="76"/>
      <c r="V60" s="76"/>
      <c r="W60" s="76"/>
      <c r="X60" s="76"/>
      <c r="Y60" s="76"/>
      <c r="Z60" s="76"/>
    </row>
    <row r="61" hidden="1">
      <c r="A61" s="85"/>
      <c r="B61" s="80"/>
      <c r="C61" s="80"/>
      <c r="D61" s="80"/>
      <c r="E61" s="81"/>
      <c r="F61" s="81"/>
      <c r="G61" s="80"/>
      <c r="H61" s="81"/>
      <c r="I61" s="81"/>
      <c r="J61" s="81"/>
      <c r="K61" s="80"/>
      <c r="L61" s="80"/>
      <c r="M61" s="81"/>
      <c r="O61" s="81"/>
      <c r="P61" s="81"/>
      <c r="Q61" s="81"/>
      <c r="R61" s="86">
        <f t="shared" ref="R61:S61" si="52">SUM(R40:R59)</f>
        <v>0</v>
      </c>
      <c r="S61" s="87">
        <f t="shared" si="52"/>
        <v>0</v>
      </c>
      <c r="T61" s="76"/>
      <c r="U61" s="76"/>
      <c r="V61" s="82">
        <f t="shared" ref="V61:W61" si="53">SUM(V40:V59)</f>
        <v>22500000000</v>
      </c>
      <c r="W61" s="86">
        <f t="shared" si="53"/>
        <v>11250000000</v>
      </c>
      <c r="X61" s="76"/>
      <c r="Y61" s="76"/>
      <c r="Z61" s="76"/>
    </row>
    <row r="62" hidden="1">
      <c r="A62" s="85"/>
      <c r="B62" s="80"/>
      <c r="C62" s="80"/>
      <c r="D62" s="80"/>
      <c r="E62" s="81"/>
      <c r="F62" s="81"/>
      <c r="G62" s="80"/>
      <c r="H62" s="81"/>
      <c r="I62" s="81"/>
      <c r="J62" s="81"/>
      <c r="K62" s="80"/>
      <c r="L62" s="80"/>
      <c r="M62" s="81"/>
      <c r="O62" s="81"/>
      <c r="P62" s="81"/>
      <c r="Q62" s="81"/>
      <c r="R62" s="86"/>
      <c r="S62" s="76"/>
      <c r="T62" s="76"/>
      <c r="U62" s="76"/>
      <c r="V62" s="76"/>
      <c r="W62" s="76"/>
      <c r="X62" s="76"/>
      <c r="Y62" s="76"/>
      <c r="Z62" s="76"/>
    </row>
    <row r="63" hidden="1">
      <c r="A63" s="85"/>
      <c r="B63" s="80"/>
      <c r="C63" s="80"/>
      <c r="D63" s="80"/>
      <c r="E63" s="81"/>
      <c r="F63" s="81"/>
      <c r="G63" s="80"/>
      <c r="H63" s="81"/>
      <c r="I63" s="81"/>
      <c r="J63" s="81"/>
      <c r="K63" s="80"/>
      <c r="L63" s="80"/>
      <c r="M63" s="81"/>
      <c r="O63" s="81"/>
      <c r="P63" s="81"/>
      <c r="Q63" s="81"/>
      <c r="R63" s="88">
        <f>R61/SUM(B9:B28)</f>
        <v>0</v>
      </c>
      <c r="S63" s="88">
        <f>IF(SUM(T40:T59)=0,0,S61/SUM(T40:T59))</f>
        <v>0</v>
      </c>
      <c r="T63" s="89"/>
      <c r="U63" s="89"/>
      <c r="V63" s="90">
        <f>V61/SUM(F9:F28)</f>
        <v>0.75</v>
      </c>
      <c r="W63" s="88">
        <f>IF(SUM(X40:X59)=0,0,W61/SUM(X40:X59))</f>
        <v>0.75</v>
      </c>
      <c r="X63" s="76"/>
      <c r="Y63" s="76"/>
      <c r="Z63" s="76"/>
    </row>
    <row r="64" hidden="1">
      <c r="A64" s="85"/>
      <c r="B64" s="80"/>
      <c r="C64" s="80"/>
      <c r="D64" s="80"/>
      <c r="E64" s="81"/>
      <c r="F64" s="81"/>
      <c r="G64" s="80"/>
      <c r="H64" s="81"/>
      <c r="I64" s="81"/>
      <c r="J64" s="81"/>
      <c r="K64" s="80"/>
      <c r="L64" s="80"/>
      <c r="M64" s="81"/>
      <c r="O64" s="81"/>
      <c r="P64" s="81"/>
      <c r="Q64" s="81"/>
      <c r="R64" s="76"/>
      <c r="S64" s="76"/>
      <c r="T64" s="76"/>
      <c r="U64" s="76"/>
      <c r="V64" s="76"/>
      <c r="W64" s="76"/>
      <c r="X64" s="76"/>
      <c r="Y64" s="76"/>
      <c r="Z64" s="76"/>
    </row>
    <row r="65" hidden="1">
      <c r="A65" s="85"/>
      <c r="B65" s="80"/>
      <c r="C65" s="80"/>
      <c r="D65" s="80"/>
      <c r="E65" s="81"/>
      <c r="F65" s="81"/>
      <c r="G65" s="80"/>
      <c r="H65" s="81"/>
      <c r="I65" s="81"/>
      <c r="J65" s="81"/>
      <c r="K65" s="80"/>
      <c r="L65" s="80"/>
      <c r="M65" s="81"/>
      <c r="O65" s="81"/>
      <c r="P65" s="81"/>
      <c r="Q65" s="81"/>
      <c r="R65" s="86"/>
      <c r="S65" s="76"/>
      <c r="T65" s="76"/>
      <c r="U65" s="76"/>
      <c r="V65" s="76"/>
      <c r="W65" s="76"/>
      <c r="X65" s="76"/>
      <c r="Y65" s="76"/>
      <c r="Z65" s="76"/>
    </row>
    <row r="66" hidden="1">
      <c r="A66" s="85"/>
      <c r="B66" s="80"/>
      <c r="C66" s="80"/>
      <c r="D66" s="80"/>
      <c r="E66" s="81"/>
      <c r="F66" s="81"/>
      <c r="G66" s="80"/>
      <c r="H66" s="81"/>
      <c r="I66" s="81"/>
      <c r="J66" s="81"/>
      <c r="K66" s="80"/>
      <c r="L66" s="80"/>
      <c r="M66" s="81"/>
      <c r="O66" s="81"/>
      <c r="P66" s="81"/>
      <c r="Q66" s="81"/>
      <c r="R66" s="86"/>
      <c r="S66" s="76"/>
      <c r="T66" s="76"/>
      <c r="U66" s="76"/>
      <c r="V66" s="76"/>
      <c r="W66" s="76"/>
      <c r="X66" s="76"/>
      <c r="Y66" s="76"/>
      <c r="Z66" s="76"/>
    </row>
    <row r="67" hidden="1">
      <c r="A67" s="85"/>
      <c r="B67" s="80"/>
      <c r="C67" s="80"/>
      <c r="D67" s="80"/>
      <c r="E67" s="81"/>
      <c r="F67" s="81"/>
      <c r="G67" s="80"/>
      <c r="H67" s="81"/>
      <c r="I67" s="81"/>
      <c r="J67" s="81"/>
      <c r="K67" s="80"/>
      <c r="L67" s="80"/>
      <c r="M67" s="81"/>
      <c r="O67" s="81"/>
      <c r="P67" s="81"/>
      <c r="Q67" s="81"/>
      <c r="R67" s="86"/>
      <c r="S67" s="76"/>
      <c r="T67" s="76"/>
      <c r="U67" s="76"/>
      <c r="V67" s="76"/>
      <c r="W67" s="76"/>
      <c r="X67" s="76"/>
      <c r="Y67" s="76"/>
      <c r="Z67" s="76"/>
    </row>
    <row r="68" hidden="1">
      <c r="A68" s="85"/>
      <c r="B68" s="80"/>
      <c r="C68" s="80"/>
      <c r="D68" s="80"/>
      <c r="E68" s="81"/>
      <c r="F68" s="81"/>
      <c r="G68" s="80"/>
      <c r="H68" s="81"/>
      <c r="I68" s="81"/>
      <c r="J68" s="81"/>
      <c r="K68" s="80"/>
      <c r="L68" s="80"/>
      <c r="M68" s="81"/>
      <c r="O68" s="81"/>
      <c r="P68" s="81"/>
      <c r="Q68" s="81"/>
      <c r="R68" s="86"/>
      <c r="S68" s="76"/>
      <c r="T68" s="76"/>
      <c r="U68" s="76"/>
      <c r="V68" s="76"/>
      <c r="W68" s="76"/>
      <c r="X68" s="76"/>
      <c r="Y68" s="76"/>
      <c r="Z68" s="76"/>
    </row>
    <row r="69" hidden="1">
      <c r="A69" s="85"/>
      <c r="B69" s="80"/>
      <c r="C69" s="80"/>
      <c r="D69" s="80"/>
      <c r="E69" s="81"/>
      <c r="F69" s="81"/>
      <c r="G69" s="80"/>
      <c r="H69" s="81"/>
      <c r="I69" s="81"/>
      <c r="J69" s="81"/>
      <c r="K69" s="80"/>
      <c r="L69" s="80"/>
      <c r="M69" s="81"/>
      <c r="O69" s="81"/>
      <c r="P69" s="81"/>
      <c r="Q69" s="81"/>
      <c r="R69" s="81"/>
    </row>
    <row r="70" hidden="1">
      <c r="A70" s="85"/>
      <c r="B70" s="80"/>
      <c r="C70" s="80"/>
      <c r="D70" s="80"/>
      <c r="E70" s="81"/>
      <c r="F70" s="81"/>
      <c r="G70" s="80"/>
      <c r="H70" s="81"/>
      <c r="I70" s="81"/>
      <c r="J70" s="81"/>
      <c r="K70" s="80"/>
      <c r="L70" s="80"/>
      <c r="M70" s="81"/>
      <c r="O70" s="81"/>
      <c r="P70" s="81"/>
      <c r="Q70" s="81"/>
      <c r="R70" s="81"/>
    </row>
    <row r="71" hidden="1">
      <c r="A71" s="85"/>
      <c r="B71" s="80"/>
      <c r="C71" s="80"/>
      <c r="D71" s="80"/>
      <c r="E71" s="81"/>
      <c r="F71" s="81"/>
      <c r="G71" s="80"/>
      <c r="H71" s="81"/>
      <c r="I71" s="81"/>
      <c r="J71" s="81"/>
      <c r="K71" s="80"/>
      <c r="L71" s="80"/>
      <c r="M71" s="81"/>
      <c r="O71" s="81"/>
      <c r="P71" s="81"/>
      <c r="Q71" s="81"/>
      <c r="R71" s="81"/>
    </row>
    <row r="72" hidden="1">
      <c r="A72" s="85"/>
      <c r="B72" s="80"/>
      <c r="C72" s="80"/>
      <c r="D72" s="80"/>
      <c r="E72" s="81"/>
      <c r="F72" s="81"/>
      <c r="G72" s="80"/>
      <c r="H72" s="81"/>
      <c r="I72" s="81"/>
      <c r="J72" s="81"/>
      <c r="K72" s="80"/>
      <c r="L72" s="80"/>
      <c r="M72" s="81"/>
      <c r="O72" s="81"/>
      <c r="P72" s="81"/>
      <c r="Q72" s="81"/>
      <c r="R72" s="81"/>
    </row>
  </sheetData>
  <mergeCells count="10">
    <mergeCell ref="M11:M13"/>
    <mergeCell ref="O11:O13"/>
    <mergeCell ref="O1:Q1"/>
    <mergeCell ref="J2:J3"/>
    <mergeCell ref="L2:M3"/>
    <mergeCell ref="O2:O3"/>
    <mergeCell ref="P2:P3"/>
    <mergeCell ref="Q2:Q3"/>
    <mergeCell ref="L11:L13"/>
    <mergeCell ref="P11:P13"/>
  </mergeCells>
  <conditionalFormatting sqref="L14:M14 O14:P14 L16:M23 O16:P23 L25:M28 O25:P28">
    <cfRule type="expression" dxfId="0" priority="1">
      <formula>IF(L14&gt;0.75,1,0)</formula>
    </cfRule>
  </conditionalFormatting>
  <conditionalFormatting sqref="L14:M14 O14:P14 L16:M23 O16:P23 L25:M28 O25:P28">
    <cfRule type="expression" dxfId="1" priority="2">
      <formula>IF(L14&gt;0.5,1,0)</formula>
    </cfRule>
  </conditionalFormatting>
  <conditionalFormatting sqref="L14:M14 O14:P14 L16:M23 O16:P23 L25:M28 O25:P28">
    <cfRule type="expression" dxfId="2" priority="3">
      <formula>IF(L14&gt;0.25,1,0)</formula>
    </cfRule>
  </conditionalFormatting>
  <conditionalFormatting sqref="L14:M14 O14:P14 L16:M23 O16:P23 L25:M28 O25:P28">
    <cfRule type="expression" dxfId="3" priority="4">
      <formula>IF(L14&gt;-1,1,0)</formula>
    </cfRule>
  </conditionalFormatting>
  <dataValidations>
    <dataValidation type="list" allowBlank="1" showErrorMessage="1" sqref="A9:A28 E9:E28">
      <formula1>Antennas!$U$6:$U$74</formula1>
    </dataValidation>
    <dataValidation type="decimal" allowBlank="1" showDropDown="1" showInputMessage="1" showErrorMessage="1" prompt="Enter a number between 0.1 and 100" sqref="N5:O5">
      <formula1>0.1</formula1>
      <formula2>100.0</formula2>
    </dataValidation>
    <dataValidation type="decimal" allowBlank="1" showInputMessage="1" showErrorMessage="1" prompt="Enter a number between 0 and 100" sqref="P5:Q5">
      <formula1>0.0</formula1>
      <formula2>100.0</formula2>
    </dataValidation>
    <dataValidation type="list" allowBlank="1" showErrorMessage="1" sqref="K14">
      <formula1>'System Stats'!$C$43:$M$43</formula1>
    </dataValidation>
    <dataValidation type="list" allowBlank="1" showErrorMessage="1" sqref="J14">
      <formula1>'System Stats'!$B$44:$B$54</formula1>
    </dataValidation>
    <dataValidation type="list" allowBlank="1" showErrorMessage="1" sqref="J10">
      <formula1>'Antenna Selector'!$R$5:$R$35</formula1>
    </dataValidation>
  </dataValidations>
  <hyperlinks>
    <hyperlink r:id="rId1" ref="A39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3" width="18.63"/>
    <col customWidth="1" min="4" max="5" width="10.0"/>
    <col customWidth="1" min="6" max="6" width="3.25"/>
    <col customWidth="1" min="7" max="7" width="20.38"/>
    <col customWidth="1" min="8" max="9" width="18.63"/>
    <col customWidth="1" min="10" max="11" width="10.0"/>
    <col customWidth="1" min="12" max="12" width="3.25"/>
    <col customWidth="1" min="13" max="13" width="7.38"/>
    <col customWidth="1" min="14" max="14" width="21.0"/>
    <col customWidth="1" min="15" max="15" width="14.38"/>
    <col customWidth="1" min="16" max="17" width="13.5"/>
    <col customWidth="1" min="18" max="18" width="3.13"/>
    <col customWidth="1" min="19" max="20" width="13.5"/>
    <col customWidth="1" min="21" max="21" width="15.88"/>
    <col customWidth="1" hidden="1" min="22" max="22" width="17.38"/>
    <col customWidth="1" hidden="1" min="23" max="24" width="12.63"/>
    <col hidden="1" min="25" max="25" width="12.63"/>
    <col customWidth="1" hidden="1" min="26" max="26" width="20.5"/>
    <col hidden="1" min="27" max="31" width="12.63"/>
  </cols>
  <sheetData>
    <row r="1">
      <c r="A1" s="1" t="s">
        <v>107</v>
      </c>
      <c r="D1" s="2" t="s">
        <v>1</v>
      </c>
      <c r="F1" s="3"/>
      <c r="G1" s="4"/>
      <c r="H1" s="4"/>
      <c r="I1" s="4"/>
      <c r="L1" s="5" t="s">
        <v>2</v>
      </c>
      <c r="Q1" s="6"/>
      <c r="R1" s="7"/>
      <c r="S1" s="8" t="s">
        <v>3</v>
      </c>
      <c r="V1" s="9"/>
      <c r="W1" s="10"/>
      <c r="X1" s="11" t="s">
        <v>4</v>
      </c>
      <c r="Y1" s="12" t="s">
        <v>5</v>
      </c>
      <c r="Z1">
        <f>MAX(MIN(1-(O8/N5),1),0)</f>
        <v>0.6747805571</v>
      </c>
    </row>
    <row r="2">
      <c r="A2" s="4"/>
      <c r="B2" s="4"/>
      <c r="C2" s="4"/>
      <c r="D2" s="3"/>
      <c r="E2" s="3"/>
      <c r="F2" s="3"/>
      <c r="G2" s="4"/>
      <c r="H2" s="4"/>
      <c r="I2" s="4"/>
      <c r="J2" s="3"/>
      <c r="K2" s="3"/>
      <c r="L2" s="3"/>
      <c r="M2" s="13"/>
      <c r="N2" s="13" t="s">
        <v>6</v>
      </c>
      <c r="O2" s="14"/>
      <c r="P2" s="15" t="s">
        <v>7</v>
      </c>
      <c r="R2" s="7"/>
      <c r="S2" s="16" t="s">
        <v>8</v>
      </c>
      <c r="T2" s="16" t="s">
        <v>9</v>
      </c>
      <c r="U2" s="16" t="s">
        <v>10</v>
      </c>
      <c r="V2" s="9"/>
      <c r="W2" s="10"/>
      <c r="X2" s="11" t="s">
        <v>11</v>
      </c>
      <c r="Y2" s="12" t="s">
        <v>5</v>
      </c>
      <c r="Z2">
        <f>IF(N6=0,0,MAX(MIN(1-(O8/N6),1),0))</f>
        <v>0.6387991467</v>
      </c>
    </row>
    <row r="3">
      <c r="A3" s="17" t="s">
        <v>12</v>
      </c>
      <c r="B3" s="18"/>
      <c r="C3" s="18" t="s">
        <v>13</v>
      </c>
      <c r="D3" s="3"/>
      <c r="E3" s="3"/>
      <c r="F3" s="3"/>
      <c r="G3" s="19" t="s">
        <v>14</v>
      </c>
      <c r="H3" s="18"/>
      <c r="I3" s="18" t="s">
        <v>15</v>
      </c>
      <c r="J3" s="3"/>
      <c r="K3" s="3"/>
      <c r="L3" s="3"/>
      <c r="M3" s="13"/>
      <c r="O3" s="14"/>
      <c r="R3" s="7"/>
      <c r="V3" s="20" t="str">
        <f t="shared" ref="V3:W3" si="1">N14</f>
        <v>Kerbin</v>
      </c>
      <c r="W3" s="21" t="str">
        <f t="shared" si="1"/>
        <v>Duna</v>
      </c>
      <c r="Z3" s="22" t="s">
        <v>16</v>
      </c>
      <c r="AA3" s="22" t="s">
        <v>17</v>
      </c>
      <c r="AB3" s="12" t="s">
        <v>18</v>
      </c>
      <c r="AC3" s="12" t="s">
        <v>19</v>
      </c>
    </row>
    <row r="4">
      <c r="A4" s="23"/>
      <c r="D4" s="24"/>
      <c r="E4" s="24"/>
      <c r="F4" s="24"/>
      <c r="G4" s="23"/>
      <c r="J4" s="24"/>
      <c r="K4" s="24"/>
      <c r="L4" s="25"/>
      <c r="S4" s="9"/>
      <c r="V4" s="12" t="s">
        <v>108</v>
      </c>
      <c r="W4" s="26">
        <f t="array" ref="W4">INDEX('System Stats'!$B$43:$M$54,MATCH(V3,'System Stats'!$B$43:$B$54,0),MATCH(W3,'System Stats'!$B$43:$M$43,0))</f>
        <v>35383028257</v>
      </c>
      <c r="X4" s="26">
        <f t="array" ref="X4">INDEX('System Stats'!$B$57:$M$68,MATCH(V3,'System Stats'!$B$57:$B$68,0),MATCH(W3,'System Stats'!$B$57:$M$57,0))</f>
        <v>6069283350</v>
      </c>
      <c r="Z4" s="12">
        <f t="shared" ref="Z4:AA4" si="2">MAX(MIN(1-(W4/$N$5),1),0)</f>
        <v>0</v>
      </c>
      <c r="AA4" s="12">
        <f t="shared" si="2"/>
        <v>0</v>
      </c>
      <c r="AB4" s="12">
        <f t="shared" ref="AB4:AC4" si="3">IF($N$6=0,0,MAX(MIN(1-(W4/$N$6),1),0))</f>
        <v>0</v>
      </c>
      <c r="AC4" s="12">
        <f t="shared" si="3"/>
        <v>0</v>
      </c>
      <c r="AE4" s="12"/>
    </row>
    <row r="5">
      <c r="A5" s="27" t="s">
        <v>21</v>
      </c>
      <c r="B5" s="28"/>
      <c r="C5" s="28">
        <f>(MAX(C9:C28)*((SUM(C9:C28)/MAX(C9:C28))^(V63)))</f>
        <v>150014999.9</v>
      </c>
      <c r="D5" s="29"/>
      <c r="E5" s="29"/>
      <c r="F5" s="29"/>
      <c r="G5" s="27" t="s">
        <v>21</v>
      </c>
      <c r="H5" s="28"/>
      <c r="I5" s="28">
        <f>(MAX(I9:I28)*((SUM(I9:I28)/MAX(I9:I28))^(Z63)))</f>
        <v>100839873.8</v>
      </c>
      <c r="J5" s="29"/>
      <c r="K5" s="29"/>
      <c r="L5" s="30"/>
      <c r="M5" s="27" t="s">
        <v>21</v>
      </c>
      <c r="N5" s="27">
        <f t="shared" ref="N5:N6" si="6">SQRT(C5*I5)</f>
        <v>122993876.5</v>
      </c>
      <c r="O5" s="31"/>
      <c r="P5" s="32">
        <f t="shared" ref="P5:P6" si="7">(3-2*Z1)*Z1^2</f>
        <v>0.7514923577</v>
      </c>
      <c r="R5" s="33"/>
      <c r="S5" s="34">
        <f>'Antenna Selector'!O5</f>
        <v>1</v>
      </c>
      <c r="T5" s="34">
        <f>'Antenna Selector'!P5</f>
        <v>1</v>
      </c>
      <c r="U5" s="34">
        <f>'Antenna Selector'!Q5</f>
        <v>1</v>
      </c>
      <c r="V5" s="35" t="s">
        <v>22</v>
      </c>
      <c r="W5" s="26">
        <f>'System Stats'!H5</f>
        <v>19913538689</v>
      </c>
      <c r="X5" s="26">
        <f>'System Stats'!G5</f>
        <v>7289385437</v>
      </c>
      <c r="Y5" s="7" t="s">
        <v>23</v>
      </c>
      <c r="Z5" s="12">
        <f t="shared" ref="Z5:AA5" si="4">MAX(MIN(1-(W5/$N$5),1),0)</f>
        <v>0</v>
      </c>
      <c r="AA5" s="12">
        <f t="shared" si="4"/>
        <v>0</v>
      </c>
      <c r="AB5" s="12">
        <f t="shared" ref="AB5:AC5" si="5">IF($N$6=0,0,MAX(MIN(1-(W5/$N$6),1),0))</f>
        <v>0</v>
      </c>
      <c r="AC5" s="12">
        <f t="shared" si="5"/>
        <v>0</v>
      </c>
      <c r="AD5" s="12"/>
      <c r="AE5" s="12"/>
    </row>
    <row r="6">
      <c r="A6" s="27" t="s">
        <v>24</v>
      </c>
      <c r="B6" s="28"/>
      <c r="C6" s="28">
        <f>IF(W63=0,0,(MAX(X40:X59)*((SUM(X40:X59)/MAX(X40:X59))^(W63))))</f>
        <v>150014999.9</v>
      </c>
      <c r="D6" s="30"/>
      <c r="E6" s="30"/>
      <c r="F6" s="30"/>
      <c r="G6" s="27" t="s">
        <v>24</v>
      </c>
      <c r="H6" s="28"/>
      <c r="I6" s="28">
        <f>IF(AA63=0,0,(MAX(AB40:AB59)*((SUM(AB40:AB59)/MAX(AB40:AB59))^(AA63))))</f>
        <v>81750000</v>
      </c>
      <c r="J6" s="30"/>
      <c r="K6" s="30"/>
      <c r="L6" s="36"/>
      <c r="M6" s="27" t="s">
        <v>24</v>
      </c>
      <c r="N6" s="27">
        <f t="shared" si="6"/>
        <v>110741709.6</v>
      </c>
      <c r="O6" s="37"/>
      <c r="P6" s="32">
        <f t="shared" si="7"/>
        <v>0.7028507325</v>
      </c>
      <c r="S6" s="91" t="s">
        <v>109</v>
      </c>
      <c r="V6" s="12" t="s">
        <v>25</v>
      </c>
      <c r="W6" s="26">
        <f>'System Stats'!H6</f>
        <v>23530851543</v>
      </c>
      <c r="X6" s="26">
        <f>'System Stats'!G6</f>
        <v>3668828971</v>
      </c>
      <c r="Y6" t="s">
        <v>26</v>
      </c>
      <c r="Z6" s="12">
        <f>MAX(MIN(1-(W6/N5),1),0)</f>
        <v>0</v>
      </c>
      <c r="AA6" s="12">
        <f>MAX(MIN(1-(X6/$N$5),1),0)</f>
        <v>0</v>
      </c>
      <c r="AB6" s="12">
        <f t="shared" ref="AB6:AC6" si="8">IF($N$6=0,0,MAX(MIN(1-(W6/$N$6),1),0))</f>
        <v>0</v>
      </c>
      <c r="AC6" s="12">
        <f t="shared" si="8"/>
        <v>0</v>
      </c>
      <c r="AD6" s="12"/>
      <c r="AE6" s="12"/>
    </row>
    <row r="7">
      <c r="A7" s="38" t="s">
        <v>27</v>
      </c>
      <c r="B7" s="39"/>
      <c r="C7" s="39"/>
      <c r="D7" s="30"/>
      <c r="E7" s="30"/>
      <c r="F7" s="30"/>
      <c r="G7" s="38" t="s">
        <v>27</v>
      </c>
      <c r="H7" s="39"/>
      <c r="I7" s="39"/>
      <c r="J7" s="30"/>
      <c r="K7" s="30"/>
      <c r="L7" s="36"/>
      <c r="N7" s="30"/>
      <c r="O7" s="37"/>
      <c r="P7" s="37"/>
      <c r="Q7" s="40"/>
      <c r="S7" s="91" t="s">
        <v>110</v>
      </c>
      <c r="V7" s="12" t="s">
        <v>28</v>
      </c>
      <c r="W7" s="26">
        <f>'System Stats'!H7</f>
        <v>23579676543</v>
      </c>
      <c r="X7" s="26"/>
      <c r="AA7" s="12"/>
      <c r="AB7" s="12"/>
      <c r="AC7" s="12"/>
      <c r="AD7" s="12"/>
      <c r="AE7" s="12"/>
    </row>
    <row r="8">
      <c r="A8" s="39" t="s">
        <v>29</v>
      </c>
      <c r="B8" s="39" t="s">
        <v>111</v>
      </c>
      <c r="C8" s="39" t="s">
        <v>30</v>
      </c>
      <c r="D8" s="30" t="s">
        <v>112</v>
      </c>
      <c r="E8" s="30" t="s">
        <v>31</v>
      </c>
      <c r="F8" s="30"/>
      <c r="G8" s="39" t="s">
        <v>29</v>
      </c>
      <c r="H8" s="39" t="s">
        <v>111</v>
      </c>
      <c r="I8" s="39" t="s">
        <v>30</v>
      </c>
      <c r="J8" s="30" t="s">
        <v>112</v>
      </c>
      <c r="K8" s="30" t="s">
        <v>31</v>
      </c>
      <c r="L8" s="36"/>
      <c r="M8" s="30"/>
      <c r="N8" s="39" t="s">
        <v>32</v>
      </c>
      <c r="O8" s="11">
        <v>4.0E7</v>
      </c>
      <c r="Q8" s="40"/>
      <c r="V8" s="12" t="s">
        <v>33</v>
      </c>
      <c r="W8" s="26">
        <f>'System Stats'!H9</f>
        <v>12000000</v>
      </c>
      <c r="X8" s="11">
        <f>'System Stats'!H9</f>
        <v>12000000</v>
      </c>
      <c r="Y8" t="s">
        <v>34</v>
      </c>
      <c r="Z8">
        <f>MAX(MIN(1-(W8/N5),1),0)</f>
        <v>0.9024341671</v>
      </c>
      <c r="AA8" s="12">
        <f t="shared" ref="AA8:AA10" si="10">MAX(MIN(1-(X8/$N$5),1),0)</f>
        <v>0.9024341671</v>
      </c>
      <c r="AB8" s="12">
        <f t="shared" ref="AB8:AC8" si="9">IF($N$6=0,0,MAX(MIN(1-(W8/$N$6),1),0))</f>
        <v>0.891639744</v>
      </c>
      <c r="AC8" s="12">
        <f t="shared" si="9"/>
        <v>0.891639744</v>
      </c>
      <c r="AD8" s="12"/>
      <c r="AE8" s="12"/>
    </row>
    <row r="9">
      <c r="A9" s="41" t="s">
        <v>113</v>
      </c>
      <c r="B9" s="41" t="s">
        <v>114</v>
      </c>
      <c r="C9" s="42">
        <f>IFERROR(__xludf.DUMMYFUNCTION("IF(ISBLANK(A9), """", IF(ISNUMBER(SEARCH(""Deep Space Network"",A9)),FILTER(Antennas!$V$6:$V72,Antennas!$U$6:$U72=A9)*$T$5,IF(ISBLANK(B9),FILTER(Antennas!$V$6:$V72,Antennas!$U$6:$U72=A9)*$S$5,IF((FILTER(Antennas!$W$6:$W72,Antennas!$U$6:$U72=A9))=0,FILTER("&amp;"Antennas!$V$6:$V72,Antennas!$U$6:$U72=A9)*$S$5,(FILTER(Antennas!$V$6:$V72,Antennas!$U$6:$U72=A9)+FILTER(Antennas!$V$6:$V72,Antennas!$U$6:$U72=B9))*FILTER(Antennas!$W$6:$W72,Antennas!$U$6:$U72=A9)*$S$5))))"),7.5005E7)</f>
        <v>75005000</v>
      </c>
      <c r="D9" s="43">
        <f>IFERROR(__xludf.DUMMYFUNCTION("IF(ISBLANK(A9), """", FILTER(Antennas!$W$6:$W72,Antennas!$U$6:$U72=A9))"),1.0)</f>
        <v>1</v>
      </c>
      <c r="E9" s="47">
        <f>IFERROR(__xludf.DUMMYFUNCTION("IF(ISBLANK(A9), """", FILTER(Antennas!$X$6:$X72,Antennas!$U$6:$U72=A9))"),0.5)</f>
        <v>0.5</v>
      </c>
      <c r="F9" s="42"/>
      <c r="G9" s="44" t="s">
        <v>115</v>
      </c>
      <c r="H9" s="42"/>
      <c r="I9" s="42">
        <f>IFERROR(__xludf.DUMMYFUNCTION("IF(ISBLANK(G9), """", IF(ISNUMBER(SEARCH(""Deep Space Network"",G9)),FILTER(Antennas!$V$6:$V72,Antennas!$U$6:$U72=G9)*$T$5,IF(ISBLANK(H9),FILTER(Antennas!$V$6:$V72,Antennas!$U$6:$U72=G9)*$S$5,IF((FILTER(Antennas!$W$6:$W72,Antennas!$U$6:$U72=G9))=0,FILTER("&amp;"Antennas!$V$6:$V72,Antennas!$U$6:$U72=G9)*$S$5,(FILTER(Antennas!$V$6:$V72,Antennas!$U$6:$U72=G9)+FILTER(Antennas!$V$6:$V72,Antennas!$U$6:$U72=H9))*FILTER(Antennas!$W$6:$W72,Antennas!$U$6:$U72=G9)*$S$5))))"),5.0E7)</f>
        <v>50000000</v>
      </c>
      <c r="J9" s="43">
        <f>IFERROR(__xludf.DUMMYFUNCTION("IF(ISBLANK(G9), """", FILTER(Antennas!$W$6:$W72,Antennas!$U$6:$U72=G9))"),0.9)</f>
        <v>0.9</v>
      </c>
      <c r="K9" s="47">
        <f>IFERROR(__xludf.DUMMYFUNCTION("IF(ISBLANK(G9), """", FILTER(Antennas!$X$6:$X72,Antennas!$U$6:$U72=G9))"),0.75)</f>
        <v>0.75</v>
      </c>
      <c r="L9" s="45"/>
      <c r="M9" s="46"/>
      <c r="N9" s="39" t="s">
        <v>37</v>
      </c>
      <c r="Q9" s="7"/>
      <c r="R9" s="7"/>
      <c r="S9" s="12"/>
      <c r="V9" s="12" t="s">
        <v>38</v>
      </c>
      <c r="W9" s="26">
        <f>'System Stats'!H10</f>
        <v>47000000</v>
      </c>
      <c r="X9" s="26">
        <f>'System Stats'!H10</f>
        <v>47000000</v>
      </c>
      <c r="Y9" t="s">
        <v>39</v>
      </c>
      <c r="Z9">
        <f>MAX(MIN(1-(W9/N5),1),0)</f>
        <v>0.6178671545</v>
      </c>
      <c r="AA9" s="12">
        <f t="shared" si="10"/>
        <v>0.6178671545</v>
      </c>
      <c r="AB9" s="12">
        <f t="shared" ref="AB9:AC9" si="11">IF($N$6=0,0,MAX(MIN(1-(W9/$N$6),1),0))</f>
        <v>0.5755889974</v>
      </c>
      <c r="AC9" s="12">
        <f t="shared" si="11"/>
        <v>0.5755889974</v>
      </c>
      <c r="AD9" s="12"/>
      <c r="AE9" s="12"/>
    </row>
    <row r="10">
      <c r="A10" s="41" t="s">
        <v>113</v>
      </c>
      <c r="B10" s="41" t="s">
        <v>114</v>
      </c>
      <c r="C10" s="42">
        <f>IFERROR(__xludf.DUMMYFUNCTION("IF(ISBLANK(A10), """", IF(ISNUMBER(SEARCH(""Deep Space Network"",A10)),FILTER(Antennas!$V$6:$V72,Antennas!$U$6:$U72=A10)*$T$5,IF(ISBLANK(B10),FILTER(Antennas!$V$6:$V72,Antennas!$U$6:$U72=A10)*$S$5,IF((FILTER(Antennas!$W$6:$W72,Antennas!$U$6:$U72=A10))=0,F"&amp;"ILTER(Antennas!$V$6:$V72,Antennas!$U$6:$U72=A10)*$S$5,(FILTER(Antennas!$V$6:$V72,Antennas!$U$6:$U72=A10)+FILTER(Antennas!$V$6:$V72,Antennas!$U$6:$U72=B10))*FILTER(Antennas!$W$6:$W72,Antennas!$U$6:$U72=A10)*$S$5))))"),7.5005E7)</f>
        <v>75005000</v>
      </c>
      <c r="D10" s="43">
        <f>IFERROR(__xludf.DUMMYFUNCTION("IF(ISBLANK(A10), """", FILTER(Antennas!$W$6:$W72,Antennas!$U$6:$U72=A10))"),1.0)</f>
        <v>1</v>
      </c>
      <c r="E10" s="47">
        <f>IFERROR(__xludf.DUMMYFUNCTION("IF(ISBLANK(A10), """", FILTER(Antennas!$X$6:$X72,Antennas!$U$6:$U72=A10))"),0.5)</f>
        <v>0.5</v>
      </c>
      <c r="F10" s="42"/>
      <c r="G10" s="44" t="s">
        <v>116</v>
      </c>
      <c r="H10" s="41" t="s">
        <v>117</v>
      </c>
      <c r="I10" s="42">
        <f>IFERROR(__xludf.DUMMYFUNCTION("IF(ISBLANK(G10), """", IF(ISNUMBER(SEARCH(""Deep Space Network"",G10)),FILTER(Antennas!$V$6:$V72,Antennas!$U$6:$U72=G10)*$T$5,IF(ISBLANK(H10),FILTER(Antennas!$V$6:$V72,Antennas!$U$6:$U72=G10)*$S$5,IF((FILTER(Antennas!$W$6:$W72,Antennas!$U$6:$U72=G10))=0,F"&amp;"ILTER(Antennas!$V$6:$V72,Antennas!$U$6:$U72=G10)*$S$5,(FILTER(Antennas!$V$6:$V72,Antennas!$U$6:$U72=G10)+FILTER(Antennas!$V$6:$V72,Antennas!$U$6:$U72=H10))*FILTER(Antennas!$W$6:$W72,Antennas!$U$6:$U72=G10)*$S$5))))"),8.175E7)</f>
        <v>81750000</v>
      </c>
      <c r="J10" s="43">
        <f>IFERROR(__xludf.DUMMYFUNCTION("IF(ISBLANK(G10), """", FILTER(Antennas!$W$6:$W72,Antennas!$U$6:$U72=G10))"),0.75)</f>
        <v>0.75</v>
      </c>
      <c r="K10" s="47">
        <f>IFERROR(__xludf.DUMMYFUNCTION("IF(ISBLANK(G10), """", FILTER(Antennas!$X$6:$X72,Antennas!$U$6:$U72=G10))"),0.25)</f>
        <v>0.25</v>
      </c>
      <c r="L10" s="45"/>
      <c r="M10" s="46"/>
      <c r="N10" s="12" t="s">
        <v>38</v>
      </c>
      <c r="O10" s="26">
        <f>IFERROR(__xludf.DUMMYFUNCTION("FILTER(W5:W35,V5:V35=N10)"),4.7E7)</f>
        <v>47000000</v>
      </c>
      <c r="V10" s="12" t="s">
        <v>41</v>
      </c>
      <c r="W10" s="26">
        <f>'System Stats'!H11</f>
        <v>35383028257</v>
      </c>
      <c r="X10" s="26">
        <f>'System Stats'!G11</f>
        <v>6069283350</v>
      </c>
      <c r="Y10" t="s">
        <v>42</v>
      </c>
      <c r="Z10">
        <f>MAX(MIN(1-(W10/N5),1),0)</f>
        <v>0</v>
      </c>
      <c r="AA10" s="12">
        <f t="shared" si="10"/>
        <v>0</v>
      </c>
      <c r="AB10" s="12">
        <f t="shared" ref="AB10:AC10" si="12">IF($N$6=0,0,MAX(MIN(1-(W10/$N$6),1),0))</f>
        <v>0</v>
      </c>
      <c r="AC10" s="12">
        <f t="shared" si="12"/>
        <v>0</v>
      </c>
      <c r="AD10" s="12"/>
      <c r="AE10" s="12"/>
    </row>
    <row r="11">
      <c r="A11" s="41" t="s">
        <v>113</v>
      </c>
      <c r="B11" s="41" t="s">
        <v>114</v>
      </c>
      <c r="C11" s="42">
        <f>IFERROR(__xludf.DUMMYFUNCTION("IF(ISBLANK(A11), """", IF(ISNUMBER(SEARCH(""Deep Space Network"",A11)),FILTER(Antennas!$V$6:$V72,Antennas!$U$6:$U72=A11)*$T$5,IF(ISBLANK(B11),FILTER(Antennas!$V$6:$V72,Antennas!$U$6:$U72=A11)*$S$5,IF((FILTER(Antennas!$W$6:$W72,Antennas!$U$6:$U72=A11))=0,F"&amp;"ILTER(Antennas!$V$6:$V72,Antennas!$U$6:$U72=A11)*$S$5,(FILTER(Antennas!$V$6:$V72,Antennas!$U$6:$U72=A11)+FILTER(Antennas!$V$6:$V72,Antennas!$U$6:$U72=B11))*FILTER(Antennas!$W$6:$W72,Antennas!$U$6:$U72=A11)*$S$5))))"),7.5005E7)</f>
        <v>75005000</v>
      </c>
      <c r="D11" s="43">
        <f>IFERROR(__xludf.DUMMYFUNCTION("IF(ISBLANK(A11), """", FILTER(Antennas!$W$6:$W72,Antennas!$U$6:$U72=A11))"),1.0)</f>
        <v>1</v>
      </c>
      <c r="E11" s="47">
        <f>IFERROR(__xludf.DUMMYFUNCTION("IF(ISBLANK(A11), """", FILTER(Antennas!$X$6:$X72,Antennas!$U$6:$U72=A11))"),0.5)</f>
        <v>0.5</v>
      </c>
      <c r="F11" s="48"/>
      <c r="G11" s="44"/>
      <c r="H11" s="42"/>
      <c r="I11" s="42" t="str">
        <f>IFERROR(__xludf.DUMMYFUNCTION("IF(ISBLANK(G11), """", IF(ISNUMBER(SEARCH(""Deep Space Network"",G11)),FILTER(Antennas!$V$6:$V72,Antennas!$U$6:$U72=G11)*$T$5,IF(ISBLANK(H11),FILTER(Antennas!$V$6:$V72,Antennas!$U$6:$U72=G11)*$S$5,IF((FILTER(Antennas!$W$6:$W72,Antennas!$U$6:$U72=G11))=0,F"&amp;"ILTER(Antennas!$V$6:$V72,Antennas!$U$6:$U72=G11)*$S$5,(FILTER(Antennas!$V$6:$V72,Antennas!$U$6:$U72=G11)+FILTER(Antennas!$V$6:$V72,Antennas!$U$6:$U72=H11))*FILTER(Antennas!$W$6:$W72,Antennas!$U$6:$U72=G11)*$S$5))))"),"")</f>
        <v/>
      </c>
      <c r="J11" s="47" t="str">
        <f>IFERROR(__xludf.DUMMYFUNCTION("IF(ISBLANK(G11), """", FILTER(Antennas!$W$6:$W72,Antennas!$U$6:$U72=G11))"),"")</f>
        <v/>
      </c>
      <c r="K11" s="47" t="str">
        <f>IFERROR(__xludf.DUMMYFUNCTION("IF(ISBLANK(G11), """", FILTER(Antennas!$X$6:$X72,Antennas!$U$6:$U72=G11))"),"")</f>
        <v/>
      </c>
      <c r="P11" s="49" t="s">
        <v>43</v>
      </c>
      <c r="Q11" s="49" t="s">
        <v>44</v>
      </c>
      <c r="R11" s="7"/>
      <c r="S11" s="49" t="s">
        <v>45</v>
      </c>
      <c r="T11" s="49" t="s">
        <v>46</v>
      </c>
      <c r="V11" s="12" t="s">
        <v>47</v>
      </c>
      <c r="W11" s="26">
        <f>'System Stats'!H12</f>
        <v>35386324257</v>
      </c>
      <c r="X11" s="26"/>
      <c r="AA11" s="12"/>
      <c r="AB11" s="12"/>
      <c r="AC11" s="12"/>
      <c r="AD11" s="12"/>
      <c r="AE11" s="12"/>
    </row>
    <row r="12">
      <c r="A12" s="41" t="s">
        <v>113</v>
      </c>
      <c r="B12" s="41" t="s">
        <v>114</v>
      </c>
      <c r="C12" s="42">
        <f>IFERROR(__xludf.DUMMYFUNCTION("IF(ISBLANK(A12), """", IF(ISNUMBER(SEARCH(""Deep Space Network"",A12)),FILTER(Antennas!$V$6:$V72,Antennas!$U$6:$U72=A12)*$T$5,IF(ISBLANK(B12),FILTER(Antennas!$V$6:$V72,Antennas!$U$6:$U72=A12)*$S$5,IF((FILTER(Antennas!$W$6:$W72,Antennas!$U$6:$U72=A12))=0,F"&amp;"ILTER(Antennas!$V$6:$V72,Antennas!$U$6:$U72=A12)*$S$5,(FILTER(Antennas!$V$6:$V72,Antennas!$U$6:$U72=A12)+FILTER(Antennas!$V$6:$V72,Antennas!$U$6:$U72=B12))*FILTER(Antennas!$W$6:$W72,Antennas!$U$6:$U72=A12)*$S$5))))"),7.5005E7)</f>
        <v>75005000</v>
      </c>
      <c r="D12" s="43">
        <f>IFERROR(__xludf.DUMMYFUNCTION("IF(ISBLANK(A12), """", FILTER(Antennas!$W$6:$W72,Antennas!$U$6:$U72=A12))"),1.0)</f>
        <v>1</v>
      </c>
      <c r="E12" s="47">
        <f>IFERROR(__xludf.DUMMYFUNCTION("IF(ISBLANK(A12), """", FILTER(Antennas!$X$6:$X72,Antennas!$U$6:$U72=A12))"),0.5)</f>
        <v>0.5</v>
      </c>
      <c r="F12" s="48"/>
      <c r="G12" s="44"/>
      <c r="H12" s="42"/>
      <c r="I12" s="42" t="str">
        <f>IFERROR(__xludf.DUMMYFUNCTION("IF(ISBLANK(G12), """", IF(ISNUMBER(SEARCH(""Deep Space Network"",G12)),FILTER(Antennas!$V$6:$V72,Antennas!$U$6:$U72=G12)*$T$5,IF(ISBLANK(H12),FILTER(Antennas!$V$6:$V72,Antennas!$U$6:$U72=G12)*$S$5,IF((FILTER(Antennas!$W$6:$W72,Antennas!$U$6:$U72=G12))=0,F"&amp;"ILTER(Antennas!$V$6:$V72,Antennas!$U$6:$U72=G12)*$S$5,(FILTER(Antennas!$V$6:$V72,Antennas!$U$6:$U72=G12)+FILTER(Antennas!$V$6:$V72,Antennas!$U$6:$U72=H12))*FILTER(Antennas!$W$6:$W72,Antennas!$U$6:$U72=G12)*$S$5))))"),"")</f>
        <v/>
      </c>
      <c r="J12" s="47" t="str">
        <f>IFERROR(__xludf.DUMMYFUNCTION("IF(ISBLANK(G12), """", FILTER(Antennas!$W$6:$W72,Antennas!$U$6:$U72=G12))"),"")</f>
        <v/>
      </c>
      <c r="K12" s="47" t="str">
        <f>IFERROR(__xludf.DUMMYFUNCTION("IF(ISBLANK(G12), """", FILTER(Antennas!$X$6:$X72,Antennas!$U$6:$U72=G12))"),"")</f>
        <v/>
      </c>
      <c r="R12" s="7"/>
      <c r="V12" s="12" t="s">
        <v>48</v>
      </c>
      <c r="W12" s="26">
        <f>'System Stats'!H13</f>
        <v>60320789167</v>
      </c>
      <c r="X12" s="26">
        <f>'System Stats'!G13</f>
        <v>21402401940</v>
      </c>
      <c r="Y12" t="s">
        <v>49</v>
      </c>
      <c r="Z12">
        <f>MAX(MIN(1-(W12/N5),1),0)</f>
        <v>0</v>
      </c>
      <c r="AA12" s="12">
        <f t="shared" ref="AA12:AA13" si="14">MAX(MIN(1-(X12/$N$5),1),0)</f>
        <v>0</v>
      </c>
      <c r="AB12" s="12">
        <f t="shared" ref="AB12:AC12" si="13">IF($N$6=0,0,MAX(MIN(1-(W12/$N$6),1),0))</f>
        <v>0</v>
      </c>
      <c r="AC12" s="12">
        <f t="shared" si="13"/>
        <v>0</v>
      </c>
      <c r="AD12" s="12"/>
      <c r="AE12" s="12"/>
    </row>
    <row r="13">
      <c r="A13" s="41" t="s">
        <v>113</v>
      </c>
      <c r="B13" s="41"/>
      <c r="C13" s="42">
        <f>IFERROR(__xludf.DUMMYFUNCTION("IF(ISBLANK(A13), """", IF(ISNUMBER(SEARCH(""Deep Space Network"",A13)),FILTER(Antennas!$V$6:$V72,Antennas!$U$6:$U72=A13)*$T$5,IF(ISBLANK(B13),FILTER(Antennas!$V$6:$V72,Antennas!$U$6:$U72=A13)*$S$5,IF((FILTER(Antennas!$W$6:$W72,Antennas!$U$6:$U72=A13))=0,F"&amp;"ILTER(Antennas!$V$6:$V72,Antennas!$U$6:$U72=A13)*$S$5,(FILTER(Antennas!$V$6:$V72,Antennas!$U$6:$U72=A13)+FILTER(Antennas!$V$6:$V72,Antennas!$U$6:$U72=B13))*FILTER(Antennas!$W$6:$W72,Antennas!$U$6:$U72=A13)*$S$5))))"),5000.0)</f>
        <v>5000</v>
      </c>
      <c r="D13" s="43">
        <f>IFERROR(__xludf.DUMMYFUNCTION("IF(ISBLANK(A13), """", FILTER(Antennas!$W$6:$W72,Antennas!$U$6:$U72=A13))"),1.0)</f>
        <v>1</v>
      </c>
      <c r="E13" s="47">
        <f>IFERROR(__xludf.DUMMYFUNCTION("IF(ISBLANK(A13), """", FILTER(Antennas!$X$6:$X72,Antennas!$U$6:$U72=A13))"),0.5)</f>
        <v>0.5</v>
      </c>
      <c r="F13" s="48"/>
      <c r="G13" s="44"/>
      <c r="H13" s="42"/>
      <c r="I13" s="42" t="str">
        <f>IFERROR(__xludf.DUMMYFUNCTION("IF(ISBLANK(G13), """", IF(ISNUMBER(SEARCH(""Deep Space Network"",G13)),FILTER(Antennas!$V$6:$V72,Antennas!$U$6:$U72=G13)*$T$5,IF(ISBLANK(H13),FILTER(Antennas!$V$6:$V72,Antennas!$U$6:$U72=G13)*$S$5,IF((FILTER(Antennas!$W$6:$W72,Antennas!$U$6:$U72=G13))=0,F"&amp;"ILTER(Antennas!$V$6:$V72,Antennas!$U$6:$U72=G13)*$S$5,(FILTER(Antennas!$V$6:$V72,Antennas!$U$6:$U72=G13)+FILTER(Antennas!$V$6:$V72,Antennas!$U$6:$U72=H13))*FILTER(Antennas!$W$6:$W72,Antennas!$U$6:$U72=G13)*$S$5))))"),"")</f>
        <v/>
      </c>
      <c r="J13" s="47" t="str">
        <f>IFERROR(__xludf.DUMMYFUNCTION("IF(ISBLANK(G13), """", FILTER(Antennas!$W$6:$W72,Antennas!$U$6:$U72=G13))"),"")</f>
        <v/>
      </c>
      <c r="K13" s="47" t="str">
        <f>IFERROR(__xludf.DUMMYFUNCTION("IF(ISBLANK(G13), """", FILTER(Antennas!$X$6:$X72,Antennas!$U$6:$U72=G13))"),"")</f>
        <v/>
      </c>
      <c r="N13" s="50" t="s">
        <v>50</v>
      </c>
      <c r="O13" s="49" t="s">
        <v>51</v>
      </c>
      <c r="R13" s="7"/>
      <c r="V13" s="12" t="s">
        <v>52</v>
      </c>
      <c r="W13" s="26">
        <f>'System Stats'!H14</f>
        <v>85812077664</v>
      </c>
      <c r="X13" s="26">
        <f>'System Stats'!G14</f>
        <v>51735042066</v>
      </c>
      <c r="Y13" t="s">
        <v>53</v>
      </c>
      <c r="Z13">
        <f>MAX(MIN(1-(W13/N5),1),0)</f>
        <v>0</v>
      </c>
      <c r="AA13" s="12">
        <f t="shared" si="14"/>
        <v>0</v>
      </c>
      <c r="AB13" s="12">
        <f t="shared" ref="AB13:AC13" si="15">IF($N$6=0,0,MAX(MIN(1-(W13/$N$6),1),0))</f>
        <v>0</v>
      </c>
      <c r="AC13" s="12">
        <f t="shared" si="15"/>
        <v>0</v>
      </c>
      <c r="AD13" s="12"/>
      <c r="AE13" s="12"/>
    </row>
    <row r="14">
      <c r="A14" s="41" t="s">
        <v>113</v>
      </c>
      <c r="B14" s="41"/>
      <c r="C14" s="42">
        <f>IFERROR(__xludf.DUMMYFUNCTION("IF(ISBLANK(A14), """", IF(ISNUMBER(SEARCH(""Deep Space Network"",A14)),FILTER(Antennas!$V$6:$V72,Antennas!$U$6:$U72=A14)*$T$5,IF(ISBLANK(B14),FILTER(Antennas!$V$6:$V72,Antennas!$U$6:$U72=A14)*$S$5,IF((FILTER(Antennas!$W$6:$W72,Antennas!$U$6:$U72=A14))=0,F"&amp;"ILTER(Antennas!$V$6:$V72,Antennas!$U$6:$U72=A14)*$S$5,(FILTER(Antennas!$V$6:$V72,Antennas!$U$6:$U72=A14)+FILTER(Antennas!$V$6:$V72,Antennas!$U$6:$U72=B14))*FILTER(Antennas!$W$6:$W72,Antennas!$U$6:$U72=A14)*$S$5))))"),5000.0)</f>
        <v>5000</v>
      </c>
      <c r="D14" s="43">
        <f>IFERROR(__xludf.DUMMYFUNCTION("IF(ISBLANK(A14), """", FILTER(Antennas!$W$6:$W72,Antennas!$U$6:$U72=A14))"),1.0)</f>
        <v>1</v>
      </c>
      <c r="E14" s="47">
        <f>IFERROR(__xludf.DUMMYFUNCTION("IF(ISBLANK(A14), """", FILTER(Antennas!$X$6:$X72,Antennas!$U$6:$U72=A14))"),0.5)</f>
        <v>0.5</v>
      </c>
      <c r="F14" s="48"/>
      <c r="G14" s="44"/>
      <c r="H14" s="42"/>
      <c r="I14" s="42" t="str">
        <f>IFERROR(__xludf.DUMMYFUNCTION("IF(ISBLANK(G14), """", IF(ISNUMBER(SEARCH(""Deep Space Network"",G14)),FILTER(Antennas!$V$6:$V72,Antennas!$U$6:$U72=G14)*$T$5,IF(ISBLANK(H14),FILTER(Antennas!$V$6:$V72,Antennas!$U$6:$U72=G14)*$S$5,IF((FILTER(Antennas!$W$6:$W72,Antennas!$U$6:$U72=G14))=0,F"&amp;"ILTER(Antennas!$V$6:$V72,Antennas!$U$6:$U72=G14)*$S$5,(FILTER(Antennas!$V$6:$V72,Antennas!$U$6:$U72=G14)+FILTER(Antennas!$V$6:$V72,Antennas!$U$6:$U72=H14))*FILTER(Antennas!$W$6:$W72,Antennas!$U$6:$U72=G14)*$S$5))))"),"")</f>
        <v/>
      </c>
      <c r="J14" s="47" t="str">
        <f>IFERROR(__xludf.DUMMYFUNCTION("IF(ISBLANK(G14), """", FILTER(Antennas!$W$6:$W72,Antennas!$U$6:$U72=G14))"),"")</f>
        <v/>
      </c>
      <c r="K14" s="47" t="str">
        <f>IFERROR(__xludf.DUMMYFUNCTION("IF(ISBLANK(G14), """", FILTER(Antennas!$X$6:$X72,Antennas!$U$6:$U72=G14))"),"")</f>
        <v/>
      </c>
      <c r="N14" s="51" t="s">
        <v>54</v>
      </c>
      <c r="O14" s="52" t="s">
        <v>42</v>
      </c>
      <c r="P14" s="53">
        <f t="shared" ref="P14:Q14" si="16">(3-2*Z4)*Z4^2</f>
        <v>0</v>
      </c>
      <c r="Q14" s="53">
        <f t="shared" si="16"/>
        <v>0</v>
      </c>
      <c r="R14" s="54"/>
      <c r="S14" s="53">
        <f t="shared" ref="S14:T14" si="17">(3-2*AB4)*AB4^2</f>
        <v>0</v>
      </c>
      <c r="T14" s="53">
        <f t="shared" si="17"/>
        <v>0</v>
      </c>
      <c r="V14" s="12" t="s">
        <v>55</v>
      </c>
      <c r="W14" s="26">
        <f>'System Stats'!H15</f>
        <v>85839261664</v>
      </c>
      <c r="X14" s="26"/>
      <c r="AA14" s="12"/>
      <c r="AB14" s="12"/>
      <c r="AC14" s="12"/>
      <c r="AD14" s="12"/>
      <c r="AE14" s="12"/>
    </row>
    <row r="15">
      <c r="A15" s="41" t="s">
        <v>113</v>
      </c>
      <c r="B15" s="41"/>
      <c r="C15" s="42">
        <f>IFERROR(__xludf.DUMMYFUNCTION("IF(ISBLANK(A15), """", IF(ISNUMBER(SEARCH(""Deep Space Network"",A15)),FILTER(Antennas!$V$6:$V72,Antennas!$U$6:$U72=A15)*$T$5,IF(ISBLANK(B15),FILTER(Antennas!$V$6:$V72,Antennas!$U$6:$U72=A15)*$S$5,IF((FILTER(Antennas!$W$6:$W72,Antennas!$U$6:$U72=A15))=0,F"&amp;"ILTER(Antennas!$V$6:$V72,Antennas!$U$6:$U72=A15)*$S$5,(FILTER(Antennas!$V$6:$V72,Antennas!$U$6:$U72=A15)+FILTER(Antennas!$V$6:$V72,Antennas!$U$6:$U72=B15))*FILTER(Antennas!$W$6:$W72,Antennas!$U$6:$U72=A15)*$S$5))))"),5000.0)</f>
        <v>5000</v>
      </c>
      <c r="D15" s="43">
        <f>IFERROR(__xludf.DUMMYFUNCTION("IF(ISBLANK(A15), """", FILTER(Antennas!$W$6:$W72,Antennas!$U$6:$U72=A15))"),1.0)</f>
        <v>1</v>
      </c>
      <c r="E15" s="47">
        <f>IFERROR(__xludf.DUMMYFUNCTION("IF(ISBLANK(A15), """", FILTER(Antennas!$X$6:$X72,Antennas!$U$6:$U72=A15))"),0.5)</f>
        <v>0.5</v>
      </c>
      <c r="F15" s="42"/>
      <c r="G15" s="41"/>
      <c r="H15" s="42"/>
      <c r="I15" s="42" t="str">
        <f>IFERROR(__xludf.DUMMYFUNCTION("IF(ISBLANK(G15), """", IF(ISNUMBER(SEARCH(""Deep Space Network"",G15)),FILTER(Antennas!$V$6:$V72,Antennas!$U$6:$U72=G15)*$T$5,IF(ISBLANK(H15),FILTER(Antennas!$V$6:$V72,Antennas!$U$6:$U72=G15)*$S$5,IF((FILTER(Antennas!$W$6:$W72,Antennas!$U$6:$U72=G15))=0,F"&amp;"ILTER(Antennas!$V$6:$V72,Antennas!$U$6:$U72=G15)*$S$5,(FILTER(Antennas!$V$6:$V72,Antennas!$U$6:$U72=G15)+FILTER(Antennas!$V$6:$V72,Antennas!$U$6:$U72=H15))*FILTER(Antennas!$W$6:$W72,Antennas!$U$6:$U72=G15)*$S$5))))"),"")</f>
        <v/>
      </c>
      <c r="J15" s="47" t="str">
        <f>IFERROR(__xludf.DUMMYFUNCTION("IF(ISBLANK(G15), """", FILTER(Antennas!$W$6:$W72,Antennas!$U$6:$U72=G15))"),"")</f>
        <v/>
      </c>
      <c r="K15" s="47" t="str">
        <f>IFERROR(__xludf.DUMMYFUNCTION("IF(ISBLANK(G15), """", FILTER(Antennas!$X$6:$X72,Antennas!$U$6:$U72=G15))"),"")</f>
        <v/>
      </c>
      <c r="L15" s="46"/>
      <c r="M15" s="46"/>
      <c r="O15" s="55" t="s">
        <v>56</v>
      </c>
      <c r="V15" s="56" t="s">
        <v>57</v>
      </c>
      <c r="W15" s="26">
        <f>'System Stats'!H16</f>
        <v>85855229664</v>
      </c>
      <c r="X15" s="26"/>
      <c r="AA15" s="12"/>
      <c r="AB15" s="12"/>
      <c r="AC15" s="12"/>
      <c r="AD15" s="12"/>
      <c r="AE15" s="12"/>
    </row>
    <row r="16">
      <c r="A16" s="41" t="s">
        <v>113</v>
      </c>
      <c r="B16" s="41"/>
      <c r="C16" s="42">
        <f>IFERROR(__xludf.DUMMYFUNCTION("IF(ISBLANK(A16), """", IF(ISNUMBER(SEARCH(""Deep Space Network"",A16)),FILTER(Antennas!$V$6:$V72,Antennas!$U$6:$U72=A16)*$T$5,IF(ISBLANK(B16),FILTER(Antennas!$V$6:$V72,Antennas!$U$6:$U72=A16)*$S$5,IF((FILTER(Antennas!$W$6:$W72,Antennas!$U$6:$U72=A16))=0,F"&amp;"ILTER(Antennas!$V$6:$V72,Antennas!$U$6:$U72=A16)*$S$5,(FILTER(Antennas!$V$6:$V72,Antennas!$U$6:$U72=A16)+FILTER(Antennas!$V$6:$V72,Antennas!$U$6:$U72=B16))*FILTER(Antennas!$W$6:$W72,Antennas!$U$6:$U72=A16)*$S$5))))"),5000.0)</f>
        <v>5000</v>
      </c>
      <c r="D16" s="43">
        <f>IFERROR(__xludf.DUMMYFUNCTION("IF(ISBLANK(A16), """", FILTER(Antennas!$W$6:$W72,Antennas!$U$6:$U72=A16))"),1.0)</f>
        <v>1</v>
      </c>
      <c r="E16" s="47">
        <f>IFERROR(__xludf.DUMMYFUNCTION("IF(ISBLANK(A16), """", FILTER(Antennas!$X$6:$X72,Antennas!$U$6:$U72=A16))"),0.5)</f>
        <v>0.5</v>
      </c>
      <c r="F16" s="48"/>
      <c r="G16" s="41"/>
      <c r="H16" s="42"/>
      <c r="I16" s="42" t="str">
        <f>IFERROR(__xludf.DUMMYFUNCTION("IF(ISBLANK(G16), """", IF(ISNUMBER(SEARCH(""Deep Space Network"",G16)),FILTER(Antennas!$V$6:$V72,Antennas!$U$6:$U72=G16)*$T$5,IF(ISBLANK(H16),FILTER(Antennas!$V$6:$V72,Antennas!$U$6:$U72=G16)*$S$5,IF((FILTER(Antennas!$W$6:$W72,Antennas!$U$6:$U72=G16))=0,F"&amp;"ILTER(Antennas!$V$6:$V72,Antennas!$U$6:$U72=G16)*$S$5,(FILTER(Antennas!$V$6:$V72,Antennas!$U$6:$U72=G16)+FILTER(Antennas!$V$6:$V72,Antennas!$U$6:$U72=H16))*FILTER(Antennas!$W$6:$W72,Antennas!$U$6:$U72=G16)*$S$5))))"),"")</f>
        <v/>
      </c>
      <c r="J16" s="47" t="str">
        <f>IFERROR(__xludf.DUMMYFUNCTION("IF(ISBLANK(G16), """", FILTER(Antennas!$W$6:$W72,Antennas!$U$6:$U72=G16))"),"")</f>
        <v/>
      </c>
      <c r="K16" s="47" t="str">
        <f>IFERROR(__xludf.DUMMYFUNCTION("IF(ISBLANK(G16), """", FILTER(Antennas!$X$6:$X72,Antennas!$U$6:$U72=G16))"),"")</f>
        <v/>
      </c>
      <c r="O16" s="57" t="s">
        <v>23</v>
      </c>
      <c r="P16" s="53">
        <f t="shared" ref="P16:Q16" si="18">(3-2*Z5)*Z5^2</f>
        <v>0</v>
      </c>
      <c r="Q16" s="53">
        <f t="shared" si="18"/>
        <v>0</v>
      </c>
      <c r="R16" s="54"/>
      <c r="S16" s="53">
        <f t="shared" ref="S16:T16" si="19">(3-2*AB5)*AB5^2</f>
        <v>0</v>
      </c>
      <c r="T16" s="53">
        <f t="shared" si="19"/>
        <v>0</v>
      </c>
      <c r="V16" s="56" t="s">
        <v>58</v>
      </c>
      <c r="W16" s="26">
        <f>'System Stats'!H17</f>
        <v>85880577664</v>
      </c>
      <c r="X16" s="26"/>
      <c r="AA16" s="12"/>
      <c r="AB16" s="12"/>
      <c r="AC16" s="12"/>
      <c r="AD16" s="12"/>
      <c r="AE16" s="12"/>
    </row>
    <row r="17">
      <c r="A17" s="41"/>
      <c r="B17" s="41"/>
      <c r="C17" s="42" t="str">
        <f>IFERROR(__xludf.DUMMYFUNCTION("IF(ISBLANK(A17), """", IF(ISNUMBER(SEARCH(""Deep Space Network"",A17)),FILTER(Antennas!$V$6:$V72,Antennas!$U$6:$U72=A17)*$T$5,IF(ISBLANK(B17),FILTER(Antennas!$V$6:$V72,Antennas!$U$6:$U72=A17)*$S$5,IF((FILTER(Antennas!$W$6:$W72,Antennas!$U$6:$U72=A17))=0,F"&amp;"ILTER(Antennas!$V$6:$V72,Antennas!$U$6:$U72=A17)*$S$5,(FILTER(Antennas!$V$6:$V72,Antennas!$U$6:$U72=A17)+FILTER(Antennas!$V$6:$V72,Antennas!$U$6:$U72=B17))*FILTER(Antennas!$W$6:$W72,Antennas!$U$6:$U72=A17)*$S$5))))"),"")</f>
        <v/>
      </c>
      <c r="D17" s="47" t="str">
        <f>IFERROR(__xludf.DUMMYFUNCTION("IF(ISBLANK(A17), """", FILTER(Antennas!$W$6:$W72,Antennas!$U$6:$U72=A17))"),"")</f>
        <v/>
      </c>
      <c r="E17" s="47" t="str">
        <f>IFERROR(__xludf.DUMMYFUNCTION("IF(ISBLANK(A17), """", FILTER(Antennas!$X$6:$X72,Antennas!$U$6:$U72=A17))"),"")</f>
        <v/>
      </c>
      <c r="F17" s="48"/>
      <c r="G17" s="41"/>
      <c r="H17" s="42"/>
      <c r="I17" s="42" t="str">
        <f>IFERROR(__xludf.DUMMYFUNCTION("IF(ISBLANK(G17), """", IF(ISNUMBER(SEARCH(""Deep Space Network"",G17)),FILTER(Antennas!$V$6:$V72,Antennas!$U$6:$U72=G17)*$T$5,IF(ISBLANK(H17),FILTER(Antennas!$V$6:$V72,Antennas!$U$6:$U72=G17)*$S$5,IF((FILTER(Antennas!$W$6:$W72,Antennas!$U$6:$U72=G17))=0,F"&amp;"ILTER(Antennas!$V$6:$V72,Antennas!$U$6:$U72=G17)*$S$5,(FILTER(Antennas!$V$6:$V72,Antennas!$U$6:$U72=G17)+FILTER(Antennas!$V$6:$V72,Antennas!$U$6:$U72=H17))*FILTER(Antennas!$W$6:$W72,Antennas!$U$6:$U72=G17)*$S$5))))"),"")</f>
        <v/>
      </c>
      <c r="J17" s="47" t="str">
        <f>IFERROR(__xludf.DUMMYFUNCTION("IF(ISBLANK(G17), """", FILTER(Antennas!$W$6:$W72,Antennas!$U$6:$U72=G17))"),"")</f>
        <v/>
      </c>
      <c r="K17" s="47" t="str">
        <f>IFERROR(__xludf.DUMMYFUNCTION("IF(ISBLANK(G17), """", FILTER(Antennas!$X$6:$X72,Antennas!$U$6:$U72=G17))"),"")</f>
        <v/>
      </c>
      <c r="O17" s="21" t="s">
        <v>26</v>
      </c>
      <c r="P17" s="53">
        <f t="shared" ref="P17:Q17" si="20">(3-2*Z6)*Z6^2</f>
        <v>0</v>
      </c>
      <c r="Q17" s="53">
        <f t="shared" si="20"/>
        <v>0</v>
      </c>
      <c r="R17" s="54"/>
      <c r="S17" s="53">
        <f t="shared" ref="S17:T17" si="21">(3-2*AB6)*AB6^2</f>
        <v>0</v>
      </c>
      <c r="T17" s="53">
        <f t="shared" si="21"/>
        <v>0</v>
      </c>
      <c r="V17" s="56" t="s">
        <v>59</v>
      </c>
      <c r="W17" s="26">
        <f>'System Stats'!H18</f>
        <v>85970775164</v>
      </c>
      <c r="X17" s="26"/>
      <c r="AA17" s="12"/>
      <c r="AB17" s="12"/>
      <c r="AC17" s="12"/>
      <c r="AD17" s="12"/>
      <c r="AE17" s="12"/>
    </row>
    <row r="18">
      <c r="A18" s="41"/>
      <c r="B18" s="42"/>
      <c r="C18" s="42" t="str">
        <f>IFERROR(__xludf.DUMMYFUNCTION("IF(ISBLANK(A18), """", IF(ISNUMBER(SEARCH(""Deep Space Network"",A18)),FILTER(Antennas!$V$6:$V72,Antennas!$U$6:$U72=A18)*$T$5,IF(ISBLANK(B18),FILTER(Antennas!$V$6:$V72,Antennas!$U$6:$U72=A18)*$S$5,IF((FILTER(Antennas!$W$6:$W72,Antennas!$U$6:$U72=A18))=0,F"&amp;"ILTER(Antennas!$V$6:$V72,Antennas!$U$6:$U72=A18)*$S$5,(FILTER(Antennas!$V$6:$V72,Antennas!$U$6:$U72=A18)+FILTER(Antennas!$V$6:$V72,Antennas!$U$6:$U72=B18))*FILTER(Antennas!$W$6:$W72,Antennas!$U$6:$U72=A18)*$S$5))))"),"")</f>
        <v/>
      </c>
      <c r="D18" s="47" t="str">
        <f>IFERROR(__xludf.DUMMYFUNCTION("IF(ISBLANK(A18), """", FILTER(Antennas!$W$6:$W72,Antennas!$U$6:$U72=A18))"),"")</f>
        <v/>
      </c>
      <c r="E18" s="47" t="str">
        <f>IFERROR(__xludf.DUMMYFUNCTION("IF(ISBLANK(A18), """", FILTER(Antennas!$X$6:$X72,Antennas!$U$6:$U72=A18))"),"")</f>
        <v/>
      </c>
      <c r="F18" s="48"/>
      <c r="G18" s="41"/>
      <c r="H18" s="42"/>
      <c r="I18" s="42" t="str">
        <f>IFERROR(__xludf.DUMMYFUNCTION("IF(ISBLANK(G18), """", IF(ISNUMBER(SEARCH(""Deep Space Network"",G18)),FILTER(Antennas!$V$6:$V72,Antennas!$U$6:$U72=G18)*$T$5,IF(ISBLANK(H18),FILTER(Antennas!$V$6:$V72,Antennas!$U$6:$U72=G18)*$S$5,IF((FILTER(Antennas!$W$6:$W72,Antennas!$U$6:$U72=G18))=0,F"&amp;"ILTER(Antennas!$V$6:$V72,Antennas!$U$6:$U72=G18)*$S$5,(FILTER(Antennas!$V$6:$V72,Antennas!$U$6:$U72=G18)+FILTER(Antennas!$V$6:$V72,Antennas!$U$6:$U72=H18))*FILTER(Antennas!$W$6:$W72,Antennas!$U$6:$U72=G18)*$S$5))))"),"")</f>
        <v/>
      </c>
      <c r="J18" s="47" t="str">
        <f>IFERROR(__xludf.DUMMYFUNCTION("IF(ISBLANK(G18), """", FILTER(Antennas!$W$6:$W72,Antennas!$U$6:$U72=G18))"),"")</f>
        <v/>
      </c>
      <c r="K18" s="47" t="str">
        <f>IFERROR(__xludf.DUMMYFUNCTION("IF(ISBLANK(G18), """", FILTER(Antennas!$X$6:$X72,Antennas!$U$6:$U72=G18))"),"")</f>
        <v/>
      </c>
      <c r="O18" s="21" t="s">
        <v>34</v>
      </c>
      <c r="P18" s="53">
        <f t="shared" ref="P18:Q18" si="22">(3-2*Z8)*Z8^2</f>
        <v>0.973300201</v>
      </c>
      <c r="Q18" s="53">
        <f t="shared" si="22"/>
        <v>0.973300201</v>
      </c>
      <c r="R18" s="54"/>
      <c r="S18" s="53">
        <f t="shared" ref="S18:T18" si="23">(3-2*AB8)*AB8^2</f>
        <v>0.9673188851</v>
      </c>
      <c r="T18" s="53">
        <f t="shared" si="23"/>
        <v>0.9673188851</v>
      </c>
      <c r="V18" s="56" t="s">
        <v>60</v>
      </c>
      <c r="W18" s="26">
        <f>'System Stats'!H19</f>
        <v>86022701871</v>
      </c>
      <c r="X18" s="26"/>
      <c r="AA18" s="12"/>
      <c r="AB18" s="12"/>
      <c r="AC18" s="12"/>
      <c r="AD18" s="12"/>
      <c r="AE18" s="12"/>
    </row>
    <row r="19">
      <c r="A19" s="41"/>
      <c r="B19" s="42"/>
      <c r="C19" s="42" t="str">
        <f>IFERROR(__xludf.DUMMYFUNCTION("IF(ISBLANK(A19), """", IF(ISNUMBER(SEARCH(""Deep Space Network"",A19)),FILTER(Antennas!$V$6:$V72,Antennas!$U$6:$U72=A19)*$T$5,IF(ISBLANK(B19),FILTER(Antennas!$V$6:$V72,Antennas!$U$6:$U72=A19)*$S$5,IF((FILTER(Antennas!$W$6:$W72,Antennas!$U$6:$U72=A19))=0,F"&amp;"ILTER(Antennas!$V$6:$V72,Antennas!$U$6:$U72=A19)*$S$5,(FILTER(Antennas!$V$6:$V72,Antennas!$U$6:$U72=A19)+FILTER(Antennas!$V$6:$V72,Antennas!$U$6:$U72=B19))*FILTER(Antennas!$W$6:$W72,Antennas!$U$6:$U72=A19)*$S$5))))"),"")</f>
        <v/>
      </c>
      <c r="D19" s="47" t="str">
        <f>IFERROR(__xludf.DUMMYFUNCTION("IF(ISBLANK(A19), """", FILTER(Antennas!$W$6:$W72,Antennas!$U$6:$U72=A19))"),"")</f>
        <v/>
      </c>
      <c r="E19" s="47" t="str">
        <f>IFERROR(__xludf.DUMMYFUNCTION("IF(ISBLANK(A19), """", FILTER(Antennas!$X$6:$X72,Antennas!$U$6:$U72=A19))"),"")</f>
        <v/>
      </c>
      <c r="F19" s="42"/>
      <c r="G19" s="41"/>
      <c r="H19" s="42"/>
      <c r="I19" s="42" t="str">
        <f>IFERROR(__xludf.DUMMYFUNCTION("IF(ISBLANK(G19), """", IF(ISNUMBER(SEARCH(""Deep Space Network"",G19)),FILTER(Antennas!$V$6:$V72,Antennas!$U$6:$U72=G19)*$T$5,IF(ISBLANK(H19),FILTER(Antennas!$V$6:$V72,Antennas!$U$6:$U72=G19)*$S$5,IF((FILTER(Antennas!$W$6:$W72,Antennas!$U$6:$U72=G19))=0,F"&amp;"ILTER(Antennas!$V$6:$V72,Antennas!$U$6:$U72=G19)*$S$5,(FILTER(Antennas!$V$6:$V72,Antennas!$U$6:$U72=G19)+FILTER(Antennas!$V$6:$V72,Antennas!$U$6:$U72=H19))*FILTER(Antennas!$W$6:$W72,Antennas!$U$6:$U72=G19)*$S$5))))"),"")</f>
        <v/>
      </c>
      <c r="J19" s="47" t="str">
        <f>IFERROR(__xludf.DUMMYFUNCTION("IF(ISBLANK(G19), """", FILTER(Antennas!$W$6:$W72,Antennas!$U$6:$U72=G19))"),"")</f>
        <v/>
      </c>
      <c r="K19" s="47" t="str">
        <f>IFERROR(__xludf.DUMMYFUNCTION("IF(ISBLANK(G19), """", FILTER(Antennas!$X$6:$X72,Antennas!$U$6:$U72=G19))"),"")</f>
        <v/>
      </c>
      <c r="L19" s="58"/>
      <c r="M19" s="59"/>
      <c r="O19" s="21" t="s">
        <v>39</v>
      </c>
      <c r="P19" s="53">
        <f t="shared" ref="P19:Q19" si="24">(3-2*Z9)*Z9^2</f>
        <v>0.6735257538</v>
      </c>
      <c r="Q19" s="53">
        <f t="shared" si="24"/>
        <v>0.6735257538</v>
      </c>
      <c r="R19" s="54"/>
      <c r="S19" s="53">
        <f t="shared" ref="S19:T19" si="25">(3-2*AB9)*AB9^2</f>
        <v>0.6125197109</v>
      </c>
      <c r="T19" s="53">
        <f t="shared" si="25"/>
        <v>0.6125197109</v>
      </c>
      <c r="V19" s="56" t="s">
        <v>61</v>
      </c>
      <c r="W19" s="26">
        <f>'System Stats'!H20</f>
        <v>127081753657</v>
      </c>
      <c r="X19" s="26">
        <f>'System Stats'!G20</f>
        <v>53183306389</v>
      </c>
      <c r="Y19" t="s">
        <v>62</v>
      </c>
      <c r="Z19">
        <f>MAX(MIN(1-(W19/N5),1),0)</f>
        <v>0</v>
      </c>
      <c r="AA19" s="12">
        <f t="shared" ref="AA19:AA20" si="29">MAX(MIN(1-(X19/$N$5),1),0)</f>
        <v>0</v>
      </c>
      <c r="AB19" s="12">
        <f t="shared" ref="AB19:AC19" si="26">IF($N$6=0,0,MAX(MIN(1-(W19/$N$6),1),0))</f>
        <v>0</v>
      </c>
      <c r="AC19" s="12">
        <f t="shared" si="26"/>
        <v>0</v>
      </c>
      <c r="AD19" s="12"/>
      <c r="AE19" s="12"/>
    </row>
    <row r="20">
      <c r="A20" s="41"/>
      <c r="B20" s="42"/>
      <c r="C20" s="42" t="str">
        <f>IFERROR(__xludf.DUMMYFUNCTION("IF(ISBLANK(A20), """", IF(ISNUMBER(SEARCH(""Deep Space Network"",A20)),FILTER(Antennas!$V$6:$V72,Antennas!$U$6:$U72=A20)*$T$5,IF(ISBLANK(B20),FILTER(Antennas!$V$6:$V72,Antennas!$U$6:$U72=A20)*$S$5,IF((FILTER(Antennas!$W$6:$W72,Antennas!$U$6:$U72=A20))=0,F"&amp;"ILTER(Antennas!$V$6:$V72,Antennas!$U$6:$U72=A20)*$S$5,(FILTER(Antennas!$V$6:$V72,Antennas!$U$6:$U72=A20)+FILTER(Antennas!$V$6:$V72,Antennas!$U$6:$U72=B20))*FILTER(Antennas!$W$6:$W72,Antennas!$U$6:$U72=A20)*$S$5))))"),"")</f>
        <v/>
      </c>
      <c r="D20" s="47" t="str">
        <f>IFERROR(__xludf.DUMMYFUNCTION("IF(ISBLANK(A20), """", FILTER(Antennas!$W$6:$W72,Antennas!$U$6:$U72=A20))"),"")</f>
        <v/>
      </c>
      <c r="E20" s="47" t="str">
        <f>IFERROR(__xludf.DUMMYFUNCTION("IF(ISBLANK(A20), """", FILTER(Antennas!$X$6:$X72,Antennas!$U$6:$U72=A20))"),"")</f>
        <v/>
      </c>
      <c r="F20" s="42"/>
      <c r="G20" s="41"/>
      <c r="H20" s="42"/>
      <c r="I20" s="42" t="str">
        <f>IFERROR(__xludf.DUMMYFUNCTION("IF(ISBLANK(G20), """", IF(ISNUMBER(SEARCH(""Deep Space Network"",G20)),FILTER(Antennas!$V$6:$V72,Antennas!$U$6:$U72=G20)*$T$5,IF(ISBLANK(H20),FILTER(Antennas!$V$6:$V72,Antennas!$U$6:$U72=G20)*$S$5,IF((FILTER(Antennas!$W$6:$W72,Antennas!$U$6:$U72=G20))=0,F"&amp;"ILTER(Antennas!$V$6:$V72,Antennas!$U$6:$U72=G20)*$S$5,(FILTER(Antennas!$V$6:$V72,Antennas!$U$6:$U72=G20)+FILTER(Antennas!$V$6:$V72,Antennas!$U$6:$U72=H20))*FILTER(Antennas!$W$6:$W72,Antennas!$U$6:$U72=G20)*$S$5))))"),"")</f>
        <v/>
      </c>
      <c r="J20" s="47" t="str">
        <f>IFERROR(__xludf.DUMMYFUNCTION("IF(ISBLANK(G20), """", FILTER(Antennas!$W$6:$W72,Antennas!$U$6:$U72=G20))"),"")</f>
        <v/>
      </c>
      <c r="K20" s="47" t="str">
        <f>IFERROR(__xludf.DUMMYFUNCTION("IF(ISBLANK(G20), """", FILTER(Antennas!$X$6:$X72,Antennas!$U$6:$U72=G20))"),"")</f>
        <v/>
      </c>
      <c r="L20" s="58"/>
      <c r="M20" s="59"/>
      <c r="O20" s="21" t="s">
        <v>42</v>
      </c>
      <c r="P20" s="53">
        <f t="shared" ref="P20:Q20" si="27">(3-2*Z10)*Z10^2</f>
        <v>0</v>
      </c>
      <c r="Q20" s="53">
        <f t="shared" si="27"/>
        <v>0</v>
      </c>
      <c r="R20" s="54"/>
      <c r="S20" s="53">
        <f t="shared" ref="S20:T20" si="28">(3-2*AB10)*AB10^2</f>
        <v>0</v>
      </c>
      <c r="T20" s="53">
        <f t="shared" si="28"/>
        <v>0</v>
      </c>
      <c r="V20" s="56" t="s">
        <v>63</v>
      </c>
      <c r="W20" s="26">
        <f>'System Stats'!H24</f>
        <v>146116001357</v>
      </c>
      <c r="X20" s="26">
        <f>'System Stats'!G24</f>
        <v>105481041293</v>
      </c>
      <c r="Y20" t="s">
        <v>64</v>
      </c>
      <c r="Z20">
        <f>MAX(MIN(1-(W20/N5),1),0)</f>
        <v>0</v>
      </c>
      <c r="AA20" s="12">
        <f t="shared" si="29"/>
        <v>0</v>
      </c>
      <c r="AB20" s="12">
        <f t="shared" ref="AB20:AC20" si="30">IF($N$6=0,0,MAX(MIN(1-(W20/$N$6),1),0))</f>
        <v>0</v>
      </c>
      <c r="AC20" s="12">
        <f t="shared" si="30"/>
        <v>0</v>
      </c>
      <c r="AD20" s="12"/>
      <c r="AE20" s="12"/>
    </row>
    <row r="21">
      <c r="A21" s="41"/>
      <c r="B21" s="41"/>
      <c r="C21" s="42" t="str">
        <f>IFERROR(__xludf.DUMMYFUNCTION("IF(ISBLANK(A21), """", IF(ISNUMBER(SEARCH(""Deep Space Network"",A21)),FILTER(Antennas!$V$6:$V72,Antennas!$U$6:$U72=A21)*$T$5,IF(ISBLANK(B21),FILTER(Antennas!$V$6:$V72,Antennas!$U$6:$U72=A21)*$S$5,IF((FILTER(Antennas!$W$6:$W72,Antennas!$U$6:$U72=A21))=0,F"&amp;"ILTER(Antennas!$V$6:$V72,Antennas!$U$6:$U72=A21)*$S$5,(FILTER(Antennas!$V$6:$V72,Antennas!$U$6:$U72=A21)+FILTER(Antennas!$V$6:$V72,Antennas!$U$6:$U72=B21))*FILTER(Antennas!$W$6:$W72,Antennas!$U$6:$U72=A21)*$S$5))))"),"")</f>
        <v/>
      </c>
      <c r="D21" s="47" t="str">
        <f>IFERROR(__xludf.DUMMYFUNCTION("IF(ISBLANK(A21), """", FILTER(Antennas!$W$6:$W72,Antennas!$U$6:$U72=A21))"),"")</f>
        <v/>
      </c>
      <c r="E21" s="47" t="str">
        <f>IFERROR(__xludf.DUMMYFUNCTION("IF(ISBLANK(A21), """", FILTER(Antennas!$X$6:$X72,Antennas!$U$6:$U72=A21))"),"")</f>
        <v/>
      </c>
      <c r="F21" s="42"/>
      <c r="G21" s="41"/>
      <c r="H21" s="42"/>
      <c r="I21" s="42" t="str">
        <f>IFERROR(__xludf.DUMMYFUNCTION("IF(ISBLANK(G21), """", IF(ISNUMBER(SEARCH(""Deep Space Network"",G21)),FILTER(Antennas!$V$6:$V72,Antennas!$U$6:$U72=G21)*$T$5,IF(ISBLANK(H21),FILTER(Antennas!$V$6:$V72,Antennas!$U$6:$U72=G21)*$S$5,IF((FILTER(Antennas!$W$6:$W72,Antennas!$U$6:$U72=G21))=0,F"&amp;"ILTER(Antennas!$V$6:$V72,Antennas!$U$6:$U72=G21)*$S$5,(FILTER(Antennas!$V$6:$V72,Antennas!$U$6:$U72=G21)+FILTER(Antennas!$V$6:$V72,Antennas!$U$6:$U72=H21))*FILTER(Antennas!$W$6:$W72,Antennas!$U$6:$U72=G21)*$S$5))))"),"")</f>
        <v/>
      </c>
      <c r="J21" s="47" t="str">
        <f>IFERROR(__xludf.DUMMYFUNCTION("IF(ISBLANK(G21), """", FILTER(Antennas!$W$6:$W72,Antennas!$U$6:$U72=G21))"),"")</f>
        <v/>
      </c>
      <c r="K21" s="47" t="str">
        <f>IFERROR(__xludf.DUMMYFUNCTION("IF(ISBLANK(G21), """", FILTER(Antennas!$X$6:$X72,Antennas!$U$6:$U72=G21))"),"")</f>
        <v/>
      </c>
      <c r="L21" s="58"/>
      <c r="M21" s="60"/>
      <c r="O21" s="21" t="s">
        <v>49</v>
      </c>
      <c r="P21" s="53">
        <f t="shared" ref="P21:Q21" si="31">(3-2*Z12)*Z12^2</f>
        <v>0</v>
      </c>
      <c r="Q21" s="53">
        <f t="shared" si="31"/>
        <v>0</v>
      </c>
      <c r="R21" s="54"/>
      <c r="S21" s="53">
        <f t="shared" ref="S21:T21" si="32">(3-2*AB12)*AB12^2</f>
        <v>0</v>
      </c>
      <c r="T21" s="53">
        <f t="shared" si="32"/>
        <v>0</v>
      </c>
      <c r="V21" s="56" t="s">
        <v>65</v>
      </c>
      <c r="W21" s="26">
        <f>'System Stats'!H25</f>
        <v>146126489588</v>
      </c>
      <c r="X21" s="26"/>
      <c r="AA21" s="12"/>
      <c r="AB21" s="12"/>
      <c r="AC21" s="12"/>
      <c r="AD21" s="12"/>
      <c r="AE21" s="12"/>
    </row>
    <row r="22">
      <c r="A22" s="41"/>
      <c r="B22" s="42"/>
      <c r="C22" s="42" t="str">
        <f>IFERROR(__xludf.DUMMYFUNCTION("IF(ISBLANK(A22), """", IF(ISNUMBER(SEARCH(""Deep Space Network"",A22)),FILTER(Antennas!$V$6:$V72,Antennas!$U$6:$U72=A22)*$T$5,IF(ISBLANK(B22),FILTER(Antennas!$V$6:$V72,Antennas!$U$6:$U72=A22)*$S$5,IF((FILTER(Antennas!$W$6:$W72,Antennas!$U$6:$U72=A22))=0,F"&amp;"ILTER(Antennas!$V$6:$V72,Antennas!$U$6:$U72=A22)*$S$5,(FILTER(Antennas!$V$6:$V72,Antennas!$U$6:$U72=A22)+FILTER(Antennas!$V$6:$V72,Antennas!$U$6:$U72=B22))*FILTER(Antennas!$W$6:$W72,Antennas!$U$6:$U72=A22)*$S$5))))"),"")</f>
        <v/>
      </c>
      <c r="D22" s="47" t="str">
        <f>IFERROR(__xludf.DUMMYFUNCTION("IF(ISBLANK(A22), """", FILTER(Antennas!$W$6:$W72,Antennas!$U$6:$U72=A22))"),"")</f>
        <v/>
      </c>
      <c r="E22" s="47" t="str">
        <f>IFERROR(__xludf.DUMMYFUNCTION("IF(ISBLANK(A22), """", FILTER(Antennas!$X$6:$X72,Antennas!$U$6:$U72=A22))"),"")</f>
        <v/>
      </c>
      <c r="F22" s="42"/>
      <c r="G22" s="41"/>
      <c r="H22" s="42"/>
      <c r="I22" s="42" t="str">
        <f>IFERROR(__xludf.DUMMYFUNCTION("IF(ISBLANK(G22), """", IF(ISNUMBER(SEARCH(""Deep Space Network"",G22)),FILTER(Antennas!$V$6:$V72,Antennas!$U$6:$U72=G22)*$T$5,IF(ISBLANK(H22),FILTER(Antennas!$V$6:$V72,Antennas!$U$6:$U72=G22)*$S$5,IF((FILTER(Antennas!$W$6:$W72,Antennas!$U$6:$U72=G22))=0,F"&amp;"ILTER(Antennas!$V$6:$V72,Antennas!$U$6:$U72=G22)*$S$5,(FILTER(Antennas!$V$6:$V72,Antennas!$U$6:$U72=G22)+FILTER(Antennas!$V$6:$V72,Antennas!$U$6:$U72=H22))*FILTER(Antennas!$W$6:$W72,Antennas!$U$6:$U72=G22)*$S$5))))"),"")</f>
        <v/>
      </c>
      <c r="J22" s="47" t="str">
        <f>IFERROR(__xludf.DUMMYFUNCTION("IF(ISBLANK(G22), """", FILTER(Antennas!$W$6:$W72,Antennas!$U$6:$U72=G22))"),"")</f>
        <v/>
      </c>
      <c r="K22" s="47" t="str">
        <f>IFERROR(__xludf.DUMMYFUNCTION("IF(ISBLANK(G22), """", FILTER(Antennas!$X$6:$X72,Antennas!$U$6:$U72=G22))"),"")</f>
        <v/>
      </c>
      <c r="L22" s="45"/>
      <c r="M22" s="46"/>
      <c r="O22" s="21" t="s">
        <v>53</v>
      </c>
      <c r="P22" s="53">
        <f t="shared" ref="P22:Q22" si="33">(3-2*Z13)*Z13^2</f>
        <v>0</v>
      </c>
      <c r="Q22" s="53">
        <f t="shared" si="33"/>
        <v>0</v>
      </c>
      <c r="R22" s="54"/>
      <c r="S22" s="53">
        <f t="shared" ref="S22:T22" si="34">(3-2*AB13)*AB13^2</f>
        <v>0</v>
      </c>
      <c r="T22" s="53">
        <f t="shared" si="34"/>
        <v>0</v>
      </c>
      <c r="V22" s="12" t="s">
        <v>66</v>
      </c>
      <c r="W22" s="26">
        <f>'System Stats'!H26</f>
        <v>146128292464</v>
      </c>
      <c r="X22" s="26"/>
      <c r="AA22" s="12"/>
      <c r="AB22" s="12"/>
      <c r="AC22" s="12"/>
      <c r="AD22" s="12"/>
      <c r="AE22" s="12"/>
    </row>
    <row r="23">
      <c r="A23" s="41"/>
      <c r="B23" s="42"/>
      <c r="C23" s="42" t="str">
        <f>IFERROR(__xludf.DUMMYFUNCTION("IF(ISBLANK(A23), """", IF(ISNUMBER(SEARCH(""Deep Space Network"",A23)),FILTER(Antennas!$V$6:$V72,Antennas!$U$6:$U72=A23)*$T$5,IF(ISBLANK(B23),FILTER(Antennas!$V$6:$V72,Antennas!$U$6:$U72=A23)*$S$5,IF((FILTER(Antennas!$W$6:$W72,Antennas!$U$6:$U72=A23))=0,F"&amp;"ILTER(Antennas!$V$6:$V72,Antennas!$U$6:$U72=A23)*$S$5,(FILTER(Antennas!$V$6:$V72,Antennas!$U$6:$U72=A23)+FILTER(Antennas!$V$6:$V72,Antennas!$U$6:$U72=B23))*FILTER(Antennas!$W$6:$W72,Antennas!$U$6:$U72=A23)*$S$5))))"),"")</f>
        <v/>
      </c>
      <c r="D23" s="47" t="str">
        <f>IFERROR(__xludf.DUMMYFUNCTION("IF(ISBLANK(A23), """", FILTER(Antennas!$W$6:$W72,Antennas!$U$6:$U72=A23))"),"")</f>
        <v/>
      </c>
      <c r="E23" s="47" t="str">
        <f>IFERROR(__xludf.DUMMYFUNCTION("IF(ISBLANK(A23), """", FILTER(Antennas!$X$6:$X72,Antennas!$U$6:$U72=A23))"),"")</f>
        <v/>
      </c>
      <c r="F23" s="42"/>
      <c r="G23" s="41"/>
      <c r="H23" s="42"/>
      <c r="I23" s="42" t="str">
        <f>IFERROR(__xludf.DUMMYFUNCTION("IF(ISBLANK(G23), """", IF(ISNUMBER(SEARCH(""Deep Space Network"",G23)),FILTER(Antennas!$V$6:$V72,Antennas!$U$6:$U72=G23)*$T$5,IF(ISBLANK(H23),FILTER(Antennas!$V$6:$V72,Antennas!$U$6:$U72=G23)*$S$5,IF((FILTER(Antennas!$W$6:$W72,Antennas!$U$6:$U72=G23))=0,F"&amp;"ILTER(Antennas!$V$6:$V72,Antennas!$U$6:$U72=G23)*$S$5,(FILTER(Antennas!$V$6:$V72,Antennas!$U$6:$U72=G23)+FILTER(Antennas!$V$6:$V72,Antennas!$U$6:$U72=H23))*FILTER(Antennas!$W$6:$W72,Antennas!$U$6:$U72=G23)*$S$5))))"),"")</f>
        <v/>
      </c>
      <c r="J23" s="47" t="str">
        <f>IFERROR(__xludf.DUMMYFUNCTION("IF(ISBLANK(G23), """", FILTER(Antennas!$W$6:$W72,Antennas!$U$6:$U72=G23))"),"")</f>
        <v/>
      </c>
      <c r="K23" s="47" t="str">
        <f>IFERROR(__xludf.DUMMYFUNCTION("IF(ISBLANK(G23), """", FILTER(Antennas!$X$6:$X72,Antennas!$U$6:$U72=G23))"),"")</f>
        <v/>
      </c>
      <c r="L23" s="45"/>
      <c r="M23" s="26"/>
      <c r="O23" s="21" t="s">
        <v>62</v>
      </c>
      <c r="P23" s="53">
        <f t="shared" ref="P23:Q23" si="35">(3-2*Z19)*Z19^2</f>
        <v>0</v>
      </c>
      <c r="Q23" s="53">
        <f t="shared" si="35"/>
        <v>0</v>
      </c>
      <c r="R23" s="54"/>
      <c r="S23" s="53">
        <f t="shared" ref="S23:T23" si="36">(3-2*AB19)*AB19^2</f>
        <v>0</v>
      </c>
      <c r="T23" s="53">
        <f t="shared" si="36"/>
        <v>0</v>
      </c>
      <c r="V23" s="12" t="s">
        <v>67</v>
      </c>
      <c r="W23" s="26">
        <f>'System Stats'!H27</f>
        <v>146135172295</v>
      </c>
      <c r="X23" s="26"/>
      <c r="AA23" s="12"/>
      <c r="AB23" s="12"/>
      <c r="AC23" s="12"/>
      <c r="AD23" s="12"/>
      <c r="AE23" s="12"/>
    </row>
    <row r="24">
      <c r="A24" s="41"/>
      <c r="B24" s="42"/>
      <c r="C24" s="42" t="str">
        <f>IFERROR(__xludf.DUMMYFUNCTION("IF(ISBLANK(A24), """", IF(ISNUMBER(SEARCH(""Deep Space Network"",A24)),FILTER(Antennas!$V$6:$V72,Antennas!$U$6:$U72=A24)*$T$5,IF(ISBLANK(B24),FILTER(Antennas!$V$6:$V72,Antennas!$U$6:$U72=A24)*$S$5,IF((FILTER(Antennas!$W$6:$W72,Antennas!$U$6:$U72=A24))=0,F"&amp;"ILTER(Antennas!$V$6:$V72,Antennas!$U$6:$U72=A24)*$S$5,(FILTER(Antennas!$V$6:$V72,Antennas!$U$6:$U72=A24)+FILTER(Antennas!$V$6:$V72,Antennas!$U$6:$U72=B24))*FILTER(Antennas!$W$6:$W72,Antennas!$U$6:$U72=A24)*$S$5))))"),"")</f>
        <v/>
      </c>
      <c r="D24" s="47" t="str">
        <f>IFERROR(__xludf.DUMMYFUNCTION("IF(ISBLANK(A24), """", FILTER(Antennas!$W$6:$W72,Antennas!$U$6:$U72=A24))"),"")</f>
        <v/>
      </c>
      <c r="E24" s="47" t="str">
        <f>IFERROR(__xludf.DUMMYFUNCTION("IF(ISBLANK(A24), """", FILTER(Antennas!$X$6:$X72,Antennas!$U$6:$U72=A24))"),"")</f>
        <v/>
      </c>
      <c r="F24" s="42"/>
      <c r="G24" s="41"/>
      <c r="H24" s="42"/>
      <c r="I24" s="42" t="str">
        <f>IFERROR(__xludf.DUMMYFUNCTION("IF(ISBLANK(G24), """", IF(ISNUMBER(SEARCH(""Deep Space Network"",G24)),FILTER(Antennas!$V$6:$V72,Antennas!$U$6:$U72=G24)*$T$5,IF(ISBLANK(H24),FILTER(Antennas!$V$6:$V72,Antennas!$U$6:$U72=G24)*$S$5,IF((FILTER(Antennas!$W$6:$W72,Antennas!$U$6:$U72=G24))=0,F"&amp;"ILTER(Antennas!$V$6:$V72,Antennas!$U$6:$U72=G24)*$S$5,(FILTER(Antennas!$V$6:$V72,Antennas!$U$6:$U72=G24)+FILTER(Antennas!$V$6:$V72,Antennas!$U$6:$U72=H24))*FILTER(Antennas!$W$6:$W72,Antennas!$U$6:$U72=G24)*$S$5))))"),"")</f>
        <v/>
      </c>
      <c r="J24" s="47" t="str">
        <f>IFERROR(__xludf.DUMMYFUNCTION("IF(ISBLANK(G24), """", FILTER(Antennas!$W$6:$W72,Antennas!$U$6:$U72=G24))"),"")</f>
        <v/>
      </c>
      <c r="K24" s="47" t="str">
        <f>IFERROR(__xludf.DUMMYFUNCTION("IF(ISBLANK(G24), """", FILTER(Antennas!$X$6:$X72,Antennas!$U$6:$U72=G24))"),"")</f>
        <v/>
      </c>
      <c r="L24" s="58"/>
      <c r="M24" s="59"/>
      <c r="O24" s="21"/>
      <c r="P24" s="54"/>
      <c r="Q24" s="54"/>
      <c r="R24" s="54"/>
      <c r="S24" s="54"/>
      <c r="T24" s="54"/>
      <c r="V24" s="12" t="s">
        <v>68</v>
      </c>
      <c r="W24" s="26">
        <f>'System Stats'!H28</f>
        <v>146160298021</v>
      </c>
      <c r="X24" s="26"/>
      <c r="AA24" s="12"/>
      <c r="AB24" s="12"/>
      <c r="AC24" s="12"/>
      <c r="AD24" s="12"/>
      <c r="AE24" s="12"/>
    </row>
    <row r="25">
      <c r="A25" s="41"/>
      <c r="B25" s="42"/>
      <c r="C25" s="42" t="str">
        <f>IFERROR(__xludf.DUMMYFUNCTION("IF(ISBLANK(A25), """", IF(ISNUMBER(SEARCH(""Deep Space Network"",A25)),FILTER(Antennas!$V$6:$V72,Antennas!$U$6:$U72=A25)*$T$5,IF(ISBLANK(B25),FILTER(Antennas!$V$6:$V72,Antennas!$U$6:$U72=A25)*$S$5,IF((FILTER(Antennas!$W$6:$W72,Antennas!$U$6:$U72=A25))=0,F"&amp;"ILTER(Antennas!$V$6:$V72,Antennas!$U$6:$U72=A25)*$S$5,(FILTER(Antennas!$V$6:$V72,Antennas!$U$6:$U72=A25)+FILTER(Antennas!$V$6:$V72,Antennas!$U$6:$U72=B25))*FILTER(Antennas!$W$6:$W72,Antennas!$U$6:$U72=A25)*$S$5))))"),"")</f>
        <v/>
      </c>
      <c r="D25" s="47" t="str">
        <f>IFERROR(__xludf.DUMMYFUNCTION("IF(ISBLANK(A25), """", FILTER(Antennas!$W$6:$W72,Antennas!$U$6:$U72=A25))"),"")</f>
        <v/>
      </c>
      <c r="E25" s="47" t="str">
        <f>IFERROR(__xludf.DUMMYFUNCTION("IF(ISBLANK(A25), """", FILTER(Antennas!$X$6:$X72,Antennas!$U$6:$U72=A25))"),"")</f>
        <v/>
      </c>
      <c r="F25" s="42"/>
      <c r="G25" s="41"/>
      <c r="H25" s="42"/>
      <c r="I25" s="42" t="str">
        <f>IFERROR(__xludf.DUMMYFUNCTION("IF(ISBLANK(G25), """", IF(ISNUMBER(SEARCH(""Deep Space Network"",G25)),FILTER(Antennas!$V$6:$V72,Antennas!$U$6:$U72=G25)*$T$5,IF(ISBLANK(H25),FILTER(Antennas!$V$6:$V72,Antennas!$U$6:$U72=G25)*$S$5,IF((FILTER(Antennas!$W$6:$W72,Antennas!$U$6:$U72=G25))=0,F"&amp;"ILTER(Antennas!$V$6:$V72,Antennas!$U$6:$U72=G25)*$S$5,(FILTER(Antennas!$V$6:$V72,Antennas!$U$6:$U72=G25)+FILTER(Antennas!$V$6:$V72,Antennas!$U$6:$U72=H25))*FILTER(Antennas!$W$6:$W72,Antennas!$U$6:$U72=G25)*$S$5))))"),"")</f>
        <v/>
      </c>
      <c r="J25" s="47" t="str">
        <f>IFERROR(__xludf.DUMMYFUNCTION("IF(ISBLANK(G25), """", FILTER(Antennas!$W$6:$W72,Antennas!$U$6:$U72=G25))"),"")</f>
        <v/>
      </c>
      <c r="K25" s="47" t="str">
        <f>IFERROR(__xludf.DUMMYFUNCTION("IF(ISBLANK(G25), """", FILTER(Antennas!$X$6:$X72,Antennas!$U$6:$U72=G25))"),"")</f>
        <v/>
      </c>
      <c r="L25" s="58"/>
      <c r="M25" s="59"/>
      <c r="O25" s="21" t="s">
        <v>64</v>
      </c>
      <c r="P25" s="53">
        <f t="shared" ref="P25:Q25" si="37">(3-2*Z20)*Z20^2</f>
        <v>0</v>
      </c>
      <c r="Q25" s="53">
        <f t="shared" si="37"/>
        <v>0</v>
      </c>
      <c r="R25" s="54"/>
      <c r="S25" s="53">
        <f t="shared" ref="S25:T25" si="38">(3-2*AB20)*AB20^2</f>
        <v>0</v>
      </c>
      <c r="T25" s="53">
        <f t="shared" si="38"/>
        <v>0</v>
      </c>
      <c r="V25" s="12" t="s">
        <v>69</v>
      </c>
      <c r="W25" s="26">
        <f>'System Stats'!H29</f>
        <v>146216082610</v>
      </c>
      <c r="X25" s="26"/>
      <c r="AA25" s="12"/>
      <c r="AB25" s="12"/>
      <c r="AC25" s="12"/>
      <c r="AD25" s="12"/>
      <c r="AE25" s="12"/>
    </row>
    <row r="26">
      <c r="A26" s="41"/>
      <c r="B26" s="42"/>
      <c r="C26" s="42" t="str">
        <f>IFERROR(__xludf.DUMMYFUNCTION("IF(ISBLANK(A26), """", IF(ISNUMBER(SEARCH(""Deep Space Network"",A26)),FILTER(Antennas!$V$6:$V72,Antennas!$U$6:$U72=A26)*$T$5,IF(ISBLANK(B26),FILTER(Antennas!$V$6:$V72,Antennas!$U$6:$U72=A26)*$S$5,IF((FILTER(Antennas!$W$6:$W72,Antennas!$U$6:$U72=A26))=0,F"&amp;"ILTER(Antennas!$V$6:$V72,Antennas!$U$6:$U72=A26)*$S$5,(FILTER(Antennas!$V$6:$V72,Antennas!$U$6:$U72=A26)+FILTER(Antennas!$V$6:$V72,Antennas!$U$6:$U72=B26))*FILTER(Antennas!$W$6:$W72,Antennas!$U$6:$U72=A26)*$S$5))))"),"")</f>
        <v/>
      </c>
      <c r="D26" s="47" t="str">
        <f>IFERROR(__xludf.DUMMYFUNCTION("IF(ISBLANK(A26), """", FILTER(Antennas!$W$6:$W72,Antennas!$U$6:$U72=A26))"),"")</f>
        <v/>
      </c>
      <c r="E26" s="47" t="str">
        <f>IFERROR(__xludf.DUMMYFUNCTION("IF(ISBLANK(A26), """", FILTER(Antennas!$X$6:$X72,Antennas!$U$6:$U72=A26))"),"")</f>
        <v/>
      </c>
      <c r="F26" s="42"/>
      <c r="G26" s="41"/>
      <c r="H26" s="42"/>
      <c r="I26" s="42" t="str">
        <f>IFERROR(__xludf.DUMMYFUNCTION("IF(ISBLANK(G26), """", IF(ISNUMBER(SEARCH(""Deep Space Network"",G26)),FILTER(Antennas!$V$6:$V72,Antennas!$U$6:$U72=G26)*$T$5,IF(ISBLANK(H26),FILTER(Antennas!$V$6:$V72,Antennas!$U$6:$U72=G26)*$S$5,IF((FILTER(Antennas!$W$6:$W72,Antennas!$U$6:$U72=G26))=0,F"&amp;"ILTER(Antennas!$V$6:$V72,Antennas!$U$6:$U72=G26)*$S$5,(FILTER(Antennas!$V$6:$V72,Antennas!$U$6:$U72=G26)+FILTER(Antennas!$V$6:$V72,Antennas!$U$6:$U72=H26))*FILTER(Antennas!$W$6:$W72,Antennas!$U$6:$U72=G26)*$S$5))))"),"")</f>
        <v/>
      </c>
      <c r="J26" s="47" t="str">
        <f>IFERROR(__xludf.DUMMYFUNCTION("IF(ISBLANK(G26), """", FILTER(Antennas!$W$6:$W72,Antennas!$U$6:$U72=G26))"),"")</f>
        <v/>
      </c>
      <c r="K26" s="47" t="str">
        <f>IFERROR(__xludf.DUMMYFUNCTION("IF(ISBLANK(G26), """", FILTER(Antennas!$X$6:$X72,Antennas!$U$6:$U72=G26))"),"")</f>
        <v/>
      </c>
      <c r="L26" s="58"/>
      <c r="M26" s="59"/>
      <c r="O26" s="21" t="s">
        <v>70</v>
      </c>
      <c r="P26" s="53">
        <f t="shared" ref="P26:Q26" si="39">(3-2*Z26)*Z26^2</f>
        <v>0</v>
      </c>
      <c r="Q26" s="53">
        <f t="shared" si="39"/>
        <v>0</v>
      </c>
      <c r="R26" s="54"/>
      <c r="S26" s="53">
        <f t="shared" ref="S26:T26" si="40">(3-2*AB26)*AB26^2</f>
        <v>0</v>
      </c>
      <c r="T26" s="53">
        <f t="shared" si="40"/>
        <v>0</v>
      </c>
      <c r="V26" s="12" t="s">
        <v>71</v>
      </c>
      <c r="W26" s="26">
        <f>'System Stats'!H30</f>
        <v>279415712909</v>
      </c>
      <c r="X26" s="26">
        <f>'System Stats'!G30</f>
        <v>229218312140</v>
      </c>
      <c r="Y26" t="s">
        <v>70</v>
      </c>
      <c r="Z26">
        <f>MAX(MIN(1-(W26/N5),1),0)</f>
        <v>0</v>
      </c>
      <c r="AA26" s="12">
        <f>MAX(MIN(1-(X26/$N$5),1),0)</f>
        <v>0</v>
      </c>
      <c r="AB26" s="12">
        <f t="shared" ref="AB26:AC26" si="41">IF($N$6=0,0,MAX(MIN(1-(W26/$N$6),1),0))</f>
        <v>0</v>
      </c>
      <c r="AC26" s="12">
        <f t="shared" si="41"/>
        <v>0</v>
      </c>
      <c r="AD26" s="12"/>
      <c r="AE26" s="12"/>
    </row>
    <row r="27">
      <c r="A27" s="41"/>
      <c r="B27" s="42"/>
      <c r="C27" s="42" t="str">
        <f>IFERROR(__xludf.DUMMYFUNCTION("IF(ISBLANK(A27), """", IF(ISNUMBER(SEARCH(""Deep Space Network"",A27)),FILTER(Antennas!$V$6:$V72,Antennas!$U$6:$U72=A27)*$T$5,IF(ISBLANK(B27),FILTER(Antennas!$V$6:$V72,Antennas!$U$6:$U72=A27)*$S$5,IF((FILTER(Antennas!$W$6:$W72,Antennas!$U$6:$U72=A27))=0,F"&amp;"ILTER(Antennas!$V$6:$V72,Antennas!$U$6:$U72=A27)*$S$5,(FILTER(Antennas!$V$6:$V72,Antennas!$U$6:$U72=A27)+FILTER(Antennas!$V$6:$V72,Antennas!$U$6:$U72=B27))*FILTER(Antennas!$W$6:$W72,Antennas!$U$6:$U72=A27)*$S$5))))"),"")</f>
        <v/>
      </c>
      <c r="D27" s="47" t="str">
        <f>IFERROR(__xludf.DUMMYFUNCTION("IF(ISBLANK(A27), """", FILTER(Antennas!$W$6:$W72,Antennas!$U$6:$U72=A27))"),"")</f>
        <v/>
      </c>
      <c r="E27" s="47" t="str">
        <f>IFERROR(__xludf.DUMMYFUNCTION("IF(ISBLANK(A27), """", FILTER(Antennas!$X$6:$X72,Antennas!$U$6:$U72=A27))"),"")</f>
        <v/>
      </c>
      <c r="F27" s="42"/>
      <c r="G27" s="41"/>
      <c r="H27" s="42"/>
      <c r="I27" s="42" t="str">
        <f>IFERROR(__xludf.DUMMYFUNCTION("IF(ISBLANK(G27), """", IF(ISNUMBER(SEARCH(""Deep Space Network"",G27)),FILTER(Antennas!$V$6:$V72,Antennas!$U$6:$U72=G27)*$T$5,IF(ISBLANK(H27),FILTER(Antennas!$V$6:$V72,Antennas!$U$6:$U72=G27)*$S$5,IF((FILTER(Antennas!$W$6:$W72,Antennas!$U$6:$U72=G27))=0,F"&amp;"ILTER(Antennas!$V$6:$V72,Antennas!$U$6:$U72=G27)*$S$5,(FILTER(Antennas!$V$6:$V72,Antennas!$U$6:$U72=G27)+FILTER(Antennas!$V$6:$V72,Antennas!$U$6:$U72=H27))*FILTER(Antennas!$W$6:$W72,Antennas!$U$6:$U72=G27)*$S$5))))"),"")</f>
        <v/>
      </c>
      <c r="J27" s="47" t="str">
        <f>IFERROR(__xludf.DUMMYFUNCTION("IF(ISBLANK(G27), """", FILTER(Antennas!$W$6:$W72,Antennas!$U$6:$U72=G27))"),"")</f>
        <v/>
      </c>
      <c r="K27" s="47" t="str">
        <f>IFERROR(__xludf.DUMMYFUNCTION("IF(ISBLANK(G27), """", FILTER(Antennas!$X$6:$X72,Antennas!$U$6:$U72=G27))"),"")</f>
        <v/>
      </c>
      <c r="L27" s="61"/>
      <c r="M27" s="26"/>
      <c r="O27" s="21" t="s">
        <v>72</v>
      </c>
      <c r="P27" s="53">
        <f t="shared" ref="P27:Q27" si="42">(3-2*Z31)*Z31^2</f>
        <v>0</v>
      </c>
      <c r="Q27" s="53">
        <f t="shared" si="42"/>
        <v>0</v>
      </c>
      <c r="R27" s="54"/>
      <c r="S27" s="53">
        <f t="shared" ref="S27:T27" si="43">(3-2*AB31)*AB31^2</f>
        <v>0</v>
      </c>
      <c r="T27" s="53">
        <f t="shared" si="43"/>
        <v>0</v>
      </c>
      <c r="V27" s="12" t="s">
        <v>73</v>
      </c>
      <c r="W27" s="26">
        <f>'System Stats'!H31</f>
        <v>279427458396</v>
      </c>
      <c r="X27" s="26"/>
      <c r="AA27" s="12"/>
      <c r="AB27" s="12"/>
      <c r="AC27" s="12"/>
      <c r="AD27" s="12"/>
      <c r="AE27" s="12"/>
    </row>
    <row r="28">
      <c r="A28" s="41"/>
      <c r="B28" s="42"/>
      <c r="C28" s="42" t="str">
        <f>IFERROR(__xludf.DUMMYFUNCTION("IF(ISBLANK(A28), """", IF(ISNUMBER(SEARCH(""Deep Space Network"",A28)),FILTER(Antennas!$V$6:$V72,Antennas!$U$6:$U72=A28)*$T$5,IF(ISBLANK(B28),FILTER(Antennas!$V$6:$V72,Antennas!$U$6:$U72=A28)*$S$5,IF((FILTER(Antennas!$W$6:$W72,Antennas!$U$6:$U72=A28))=0,F"&amp;"ILTER(Antennas!$V$6:$V72,Antennas!$U$6:$U72=A28)*$S$5,(FILTER(Antennas!$V$6:$V72,Antennas!$U$6:$U72=A28)+FILTER(Antennas!$V$6:$V72,Antennas!$U$6:$U72=B28))*FILTER(Antennas!$W$6:$W72,Antennas!$U$6:$U72=A28)*$S$5))))"),"")</f>
        <v/>
      </c>
      <c r="D28" s="47" t="str">
        <f>IFERROR(__xludf.DUMMYFUNCTION("IF(ISBLANK(A28), """", FILTER(Antennas!$W$6:$W72,Antennas!$U$6:$U72=A28))"),"")</f>
        <v/>
      </c>
      <c r="E28" s="47" t="str">
        <f>IFERROR(__xludf.DUMMYFUNCTION("IF(ISBLANK(A28), """", FILTER(Antennas!$X$6:$X72,Antennas!$U$6:$U72=A28))"),"")</f>
        <v/>
      </c>
      <c r="F28" s="42"/>
      <c r="G28" s="41"/>
      <c r="H28" s="42"/>
      <c r="I28" s="42" t="str">
        <f>IFERROR(__xludf.DUMMYFUNCTION("IF(ISBLANK(G28), """", IF(ISNUMBER(SEARCH(""Deep Space Network"",G28)),FILTER(Antennas!$V$6:$V72,Antennas!$U$6:$U72=G28)*$T$5,IF(ISBLANK(H28),FILTER(Antennas!$V$6:$V72,Antennas!$U$6:$U72=G28)*$S$5,IF((FILTER(Antennas!$W$6:$W72,Antennas!$U$6:$U72=G28))=0,F"&amp;"ILTER(Antennas!$V$6:$V72,Antennas!$U$6:$U72=G28)*$S$5,(FILTER(Antennas!$V$6:$V72,Antennas!$U$6:$U72=G28)+FILTER(Antennas!$V$6:$V72,Antennas!$U$6:$U72=H28))*FILTER(Antennas!$W$6:$W72,Antennas!$U$6:$U72=G28)*$S$5))))"),"")</f>
        <v/>
      </c>
      <c r="J28" s="47" t="str">
        <f>IFERROR(__xludf.DUMMYFUNCTION("IF(ISBLANK(G28), """", FILTER(Antennas!$W$6:$W72,Antennas!$U$6:$U72=G28))"),"")</f>
        <v/>
      </c>
      <c r="K28" s="47" t="str">
        <f>IFERROR(__xludf.DUMMYFUNCTION("IF(ISBLANK(G28), """", FILTER(Antennas!$X$6:$X72,Antennas!$U$6:$U72=G28))"),"")</f>
        <v/>
      </c>
      <c r="L28" s="61"/>
      <c r="M28" s="26"/>
      <c r="O28" s="62" t="s">
        <v>74</v>
      </c>
      <c r="P28" s="53">
        <f t="shared" ref="P28:Q28" si="44">(3-2*Z34)*Z34^2</f>
        <v>0</v>
      </c>
      <c r="Q28" s="53">
        <f t="shared" si="44"/>
        <v>0</v>
      </c>
      <c r="R28" s="54"/>
      <c r="S28" s="53">
        <f t="shared" ref="S28:T28" si="45">(3-2*AB34)*AB34^2</f>
        <v>0</v>
      </c>
      <c r="T28" s="53">
        <f t="shared" si="45"/>
        <v>0</v>
      </c>
      <c r="V28" s="11" t="s">
        <v>75</v>
      </c>
      <c r="W28" s="26">
        <f>'System Stats'!H32</f>
        <v>279427458396</v>
      </c>
      <c r="X28" s="26"/>
      <c r="AA28" s="12"/>
      <c r="AB28" s="12"/>
      <c r="AC28" s="12"/>
      <c r="AD28" s="12"/>
      <c r="AE28" s="12"/>
    </row>
    <row r="29">
      <c r="A29" s="63" t="s">
        <v>76</v>
      </c>
      <c r="B29" s="64"/>
      <c r="C29" s="64"/>
      <c r="D29" s="65" t="s">
        <v>77</v>
      </c>
      <c r="E29" s="64"/>
      <c r="F29" s="64"/>
      <c r="H29" s="64"/>
      <c r="I29" s="66" t="s">
        <v>78</v>
      </c>
      <c r="J29" s="64"/>
      <c r="K29" s="64"/>
      <c r="L29" s="64"/>
      <c r="M29" s="66"/>
      <c r="O29" s="26"/>
      <c r="P29" s="26"/>
      <c r="Q29" s="26"/>
      <c r="R29" s="26"/>
      <c r="S29" s="26"/>
      <c r="V29" s="11" t="s">
        <v>79</v>
      </c>
      <c r="W29" s="26">
        <f>'System Stats'!H33</f>
        <v>279484820311</v>
      </c>
      <c r="X29" s="26"/>
      <c r="AA29" s="12"/>
      <c r="AB29" s="12"/>
      <c r="AC29" s="12"/>
      <c r="AD29" s="12"/>
      <c r="AE29" s="12"/>
    </row>
    <row r="30">
      <c r="A30" s="67" t="s">
        <v>80</v>
      </c>
      <c r="B30" s="64"/>
      <c r="C30" s="64"/>
      <c r="D30" s="64"/>
      <c r="E30" s="64"/>
      <c r="F30" s="64"/>
      <c r="G30" s="64"/>
      <c r="H30" s="68"/>
      <c r="I30" s="57"/>
      <c r="J30" s="64"/>
      <c r="K30" s="64"/>
      <c r="L30" s="64"/>
      <c r="M30" s="57"/>
      <c r="O30" s="7"/>
      <c r="P30" s="7"/>
      <c r="Q30" s="26"/>
      <c r="R30" s="26"/>
      <c r="S30" s="26"/>
      <c r="V30" s="11" t="s">
        <v>81</v>
      </c>
      <c r="W30" s="26">
        <f>'System Stats'!H34</f>
        <v>279487929474</v>
      </c>
      <c r="X30" s="26"/>
      <c r="AA30" s="12"/>
      <c r="AB30" s="12"/>
      <c r="AC30" s="12"/>
      <c r="AD30" s="12"/>
      <c r="AE30" s="12"/>
    </row>
    <row r="31">
      <c r="A31" s="69" t="s">
        <v>82</v>
      </c>
      <c r="B31" s="64"/>
      <c r="C31" s="64"/>
      <c r="D31" s="64"/>
      <c r="E31" s="64"/>
      <c r="F31" s="64"/>
      <c r="G31" s="64"/>
      <c r="H31" s="64"/>
      <c r="I31" s="11" t="s">
        <v>83</v>
      </c>
      <c r="J31" s="64"/>
      <c r="K31" s="64"/>
      <c r="L31" s="64"/>
      <c r="M31" s="11"/>
      <c r="O31" s="26"/>
      <c r="P31" s="26"/>
      <c r="Q31" s="26"/>
      <c r="R31" s="26"/>
      <c r="S31" s="26"/>
      <c r="V31" s="11" t="s">
        <v>84</v>
      </c>
      <c r="W31" s="26">
        <f>'System Stats'!H35</f>
        <v>428177051986</v>
      </c>
      <c r="X31" s="26">
        <f>'System Stats'!G35</f>
        <v>390533330076</v>
      </c>
      <c r="Y31" t="s">
        <v>72</v>
      </c>
      <c r="Z31">
        <f>MAX(MIN(1-(W31/N5),1),0)</f>
        <v>0</v>
      </c>
      <c r="AA31" s="12">
        <f>MAX(MIN(1-(X31/$N$5),1),0)</f>
        <v>0</v>
      </c>
      <c r="AB31" s="12">
        <f t="shared" ref="AB31:AC31" si="46">IF($N$6=0,0,MAX(MIN(1-(W31/$N$6),1),0))</f>
        <v>0</v>
      </c>
      <c r="AC31" s="12">
        <f t="shared" si="46"/>
        <v>0</v>
      </c>
      <c r="AD31" s="12"/>
      <c r="AE31" s="12"/>
    </row>
    <row r="32">
      <c r="A32" s="11" t="s">
        <v>85</v>
      </c>
      <c r="B32" s="64"/>
      <c r="C32" s="64"/>
      <c r="D32" s="64"/>
      <c r="E32" s="64"/>
      <c r="F32" s="64"/>
      <c r="G32" s="64"/>
      <c r="H32" s="64"/>
      <c r="I32" s="11" t="s">
        <v>86</v>
      </c>
      <c r="J32" s="64"/>
      <c r="K32" s="64"/>
      <c r="L32" s="64"/>
      <c r="M32" s="11"/>
      <c r="O32" s="26"/>
      <c r="P32" s="26"/>
      <c r="Q32" s="26"/>
      <c r="R32" s="26"/>
      <c r="S32" s="26"/>
      <c r="V32" s="11" t="s">
        <v>87</v>
      </c>
      <c r="W32" s="26">
        <f>'System Stats'!H36</f>
        <v>428209366770</v>
      </c>
      <c r="X32" s="26"/>
      <c r="AA32" s="12"/>
      <c r="AB32" s="12"/>
      <c r="AC32" s="12"/>
      <c r="AD32" s="12"/>
      <c r="AE32" s="12"/>
    </row>
    <row r="33">
      <c r="A33" s="11" t="s">
        <v>88</v>
      </c>
      <c r="B33" s="64"/>
      <c r="C33" s="64"/>
      <c r="D33" s="64"/>
      <c r="E33" s="64"/>
      <c r="F33" s="64"/>
      <c r="G33" s="64"/>
      <c r="H33" s="64"/>
      <c r="I33" s="26"/>
      <c r="J33" s="64"/>
      <c r="K33" s="64"/>
      <c r="L33" s="64"/>
      <c r="M33" s="26"/>
      <c r="O33" s="26"/>
      <c r="P33" s="26"/>
      <c r="Q33" s="26"/>
      <c r="R33" s="26"/>
      <c r="S33" s="26"/>
      <c r="V33" s="11" t="s">
        <v>89</v>
      </c>
      <c r="W33" s="26">
        <f>'System Stats'!H37</f>
        <v>429015970830</v>
      </c>
      <c r="X33" s="26"/>
      <c r="AA33" s="12"/>
      <c r="AB33" s="12"/>
      <c r="AC33" s="12"/>
      <c r="AD33" s="12"/>
      <c r="AE33" s="12"/>
    </row>
    <row r="34">
      <c r="A34" s="11" t="s">
        <v>90</v>
      </c>
      <c r="B34" s="64"/>
      <c r="C34" s="64"/>
      <c r="D34" s="64"/>
      <c r="E34" s="64"/>
      <c r="F34" s="64"/>
      <c r="G34" s="64"/>
      <c r="H34" s="64"/>
      <c r="I34" s="11" t="s">
        <v>118</v>
      </c>
      <c r="J34" s="64"/>
      <c r="K34" s="64"/>
      <c r="L34" s="64"/>
      <c r="M34" s="11"/>
      <c r="O34" s="26"/>
      <c r="P34" s="26"/>
      <c r="Q34" s="26"/>
      <c r="R34" s="26"/>
      <c r="S34" s="26"/>
      <c r="V34" s="11" t="s">
        <v>92</v>
      </c>
      <c r="W34" s="26">
        <f>'System Stats'!H38</f>
        <v>688705350475</v>
      </c>
      <c r="X34" s="26">
        <f>'System Stats'!G38</f>
        <v>382964603173</v>
      </c>
      <c r="Y34" t="s">
        <v>74</v>
      </c>
      <c r="Z34">
        <f>MAX(MIN(1-(W34/N5),1),0)</f>
        <v>0</v>
      </c>
      <c r="AA34" s="12">
        <f>MAX(MIN(1-(X34/$N$5),1),0)</f>
        <v>0</v>
      </c>
      <c r="AB34" s="12">
        <f t="shared" ref="AB34:AC34" si="47">IF($N$6=0,0,MAX(MIN(1-(W34/$N$6),1),0))</f>
        <v>0</v>
      </c>
      <c r="AC34" s="12">
        <f t="shared" si="47"/>
        <v>0</v>
      </c>
      <c r="AD34" s="12"/>
    </row>
    <row r="35">
      <c r="A35" s="11" t="s">
        <v>93</v>
      </c>
      <c r="B35" s="64"/>
      <c r="C35" s="64"/>
      <c r="D35" s="64"/>
      <c r="E35" s="64"/>
      <c r="F35" s="64"/>
      <c r="G35" s="70"/>
      <c r="H35" s="71"/>
      <c r="I35" s="11" t="s">
        <v>94</v>
      </c>
      <c r="J35" s="64"/>
      <c r="K35" s="64"/>
      <c r="L35" s="64"/>
      <c r="M35" s="11"/>
      <c r="O35" s="26"/>
      <c r="P35" s="26"/>
      <c r="Q35" s="26"/>
      <c r="R35" s="26"/>
      <c r="S35" s="26"/>
      <c r="V35" s="11" t="s">
        <v>95</v>
      </c>
      <c r="W35" s="26">
        <f>'System Stats'!H39</f>
        <v>688707808275</v>
      </c>
      <c r="X35" s="26"/>
      <c r="AB35" s="12"/>
      <c r="AC35" s="12"/>
    </row>
    <row r="36">
      <c r="A36" s="12" t="s">
        <v>96</v>
      </c>
      <c r="D36" s="72" t="str">
        <f>HYPERLINK("http://wiki.kerbalspaceprogram.com/wiki/CommNet","KSP CommNet Wiki")</f>
        <v>KSP CommNet Wiki</v>
      </c>
      <c r="I36" s="26"/>
      <c r="J36" s="64"/>
      <c r="K36" s="64"/>
      <c r="L36" s="64"/>
      <c r="M36" s="26"/>
      <c r="O36" s="26"/>
      <c r="P36" s="26"/>
      <c r="Q36" s="26"/>
      <c r="R36" s="26"/>
      <c r="S36" s="26"/>
      <c r="V36" s="26"/>
      <c r="W36" s="26"/>
      <c r="X36" s="26"/>
      <c r="AE36" s="12"/>
    </row>
    <row r="37">
      <c r="I37" s="12" t="s">
        <v>119</v>
      </c>
      <c r="P37" s="26"/>
      <c r="Q37" s="26"/>
      <c r="R37" s="26"/>
      <c r="S37" s="26"/>
    </row>
    <row r="38">
      <c r="A38" s="73" t="s">
        <v>98</v>
      </c>
      <c r="B38" s="74" t="s">
        <v>99</v>
      </c>
      <c r="D38" s="64"/>
      <c r="E38" s="64"/>
      <c r="F38" s="64"/>
      <c r="G38" s="64"/>
      <c r="H38" s="64"/>
      <c r="I38" s="12" t="str">
        <f>"    adjacent column. If you're using more than one antenna on a reflector, just enter them in multiple lines."</f>
        <v>    adjacent column. If you're using more than one antenna on a reflector, just enter them in multiple lines.</v>
      </c>
      <c r="P38" s="26"/>
      <c r="Q38" s="26"/>
      <c r="R38" s="26"/>
      <c r="S38" s="26"/>
      <c r="V38" s="75" t="s">
        <v>101</v>
      </c>
      <c r="W38" s="76"/>
      <c r="X38" s="76"/>
      <c r="Y38" s="76"/>
      <c r="Z38" s="75" t="s">
        <v>102</v>
      </c>
      <c r="AA38" s="76"/>
      <c r="AB38" s="76"/>
      <c r="AC38" s="76"/>
      <c r="AD38" s="75"/>
    </row>
    <row r="39">
      <c r="A39" s="77" t="s">
        <v>103</v>
      </c>
      <c r="B39" s="65" t="s">
        <v>104</v>
      </c>
      <c r="D39" s="64"/>
      <c r="E39" s="64"/>
      <c r="F39" s="64"/>
      <c r="G39" s="64"/>
      <c r="H39" s="64"/>
      <c r="P39" s="26"/>
      <c r="Q39" s="7"/>
      <c r="R39" s="7"/>
      <c r="S39" s="7"/>
      <c r="V39" s="79" t="s">
        <v>4</v>
      </c>
      <c r="W39" s="79" t="s">
        <v>11</v>
      </c>
      <c r="X39" s="76"/>
      <c r="Y39" s="76"/>
      <c r="Z39" s="79" t="s">
        <v>106</v>
      </c>
      <c r="AA39" s="75" t="s">
        <v>11</v>
      </c>
      <c r="AB39" s="75"/>
      <c r="AC39" s="75"/>
      <c r="AD39" s="76"/>
    </row>
    <row r="40">
      <c r="I40" s="11" t="s">
        <v>120</v>
      </c>
      <c r="J40" s="64"/>
      <c r="K40" s="64"/>
      <c r="L40" s="64"/>
      <c r="M40" s="11"/>
      <c r="O40" s="26"/>
      <c r="P40" s="80"/>
      <c r="Q40" s="81"/>
      <c r="S40" s="81"/>
      <c r="T40" s="81"/>
      <c r="U40" s="81"/>
      <c r="V40" s="83">
        <f t="shared" ref="V40:V59" si="48">C9*E9</f>
        <v>37502500</v>
      </c>
      <c r="W40" s="83">
        <f t="shared" ref="W40:W59" si="49">IF(OR(Y40="Relay",Y40="DSN"),C9*E9,0)</f>
        <v>37502500</v>
      </c>
      <c r="X40" s="83">
        <f t="shared" ref="X40:X59" si="50">IF(ISBLANK(A9), 0,IF(OR(Y40="Relay",Y40="DSN"),C9,0))</f>
        <v>75005000</v>
      </c>
      <c r="Y40" s="76" t="str">
        <f>IFERROR(__xludf.DUMMYFUNCTION("IF(ISBLANK(A9), """", FILTER(Antennas!$K$6:$K72,Antennas!$U$6:$U72=A9))"),"Relay")</f>
        <v>Relay</v>
      </c>
      <c r="Z40" s="83">
        <f t="shared" ref="Z40:Z59" si="51">I9*K9</f>
        <v>37500000</v>
      </c>
      <c r="AA40" s="83">
        <f t="shared" ref="AA40:AA59" si="52">IF(OR(AC40="Relay",AC40="DSN"),I9*K9,0)</f>
        <v>0</v>
      </c>
      <c r="AB40" s="83">
        <f t="shared" ref="AB40:AB59" si="53">IF(ISBLANK(G9), 0,IF(OR(AC40="Relay",AC40="DSN"),I9,0))</f>
        <v>0</v>
      </c>
      <c r="AC40" s="76" t="str">
        <f>IFERROR(__xludf.DUMMYFUNCTION("IF(ISBLANK(G9), """", FILTER(Antennas!$K$6:$K72,Antennas!$U$6:$U72=G9))"),"Direct")</f>
        <v>Direct</v>
      </c>
      <c r="AD40" s="76"/>
    </row>
    <row r="41">
      <c r="A41" s="85"/>
      <c r="B41" s="80"/>
      <c r="C41" s="80"/>
      <c r="D41" s="80"/>
      <c r="E41" s="80"/>
      <c r="F41" s="80"/>
      <c r="G41" s="81"/>
      <c r="H41" s="81"/>
      <c r="I41" s="11" t="s">
        <v>100</v>
      </c>
      <c r="J41" s="64"/>
      <c r="K41" s="64"/>
      <c r="L41" s="64"/>
      <c r="M41" s="11"/>
      <c r="O41" s="26"/>
      <c r="P41" s="80"/>
      <c r="Q41" s="81"/>
      <c r="S41" s="81"/>
      <c r="T41" s="81"/>
      <c r="U41" s="81"/>
      <c r="V41" s="83">
        <f t="shared" si="48"/>
        <v>37502500</v>
      </c>
      <c r="W41" s="83">
        <f t="shared" si="49"/>
        <v>37502500</v>
      </c>
      <c r="X41" s="83">
        <f t="shared" si="50"/>
        <v>75005000</v>
      </c>
      <c r="Y41" s="76" t="str">
        <f>IFERROR(__xludf.DUMMYFUNCTION("IF(ISBLANK(A10), """", FILTER(Antennas!$K$6:$K72,Antennas!$U$6:$U72=A10))"),"Relay")</f>
        <v>Relay</v>
      </c>
      <c r="Z41" s="83">
        <f t="shared" si="51"/>
        <v>20437500</v>
      </c>
      <c r="AA41" s="83">
        <f t="shared" si="52"/>
        <v>20437500</v>
      </c>
      <c r="AB41" s="83">
        <f t="shared" si="53"/>
        <v>81750000</v>
      </c>
      <c r="AC41" s="76" t="str">
        <f>IFERROR(__xludf.DUMMYFUNCTION("IF(ISBLANK(G10), """", FILTER(Antennas!$K$6:$K72,Antennas!$U$6:$U72=G10))"),"Relay")</f>
        <v>Relay</v>
      </c>
      <c r="AD41" s="76"/>
    </row>
    <row r="42">
      <c r="A42" s="85"/>
      <c r="B42" s="80"/>
      <c r="C42" s="80"/>
      <c r="D42" s="80"/>
      <c r="E42" s="80"/>
      <c r="F42" s="80"/>
      <c r="G42" s="81"/>
      <c r="H42" s="81"/>
      <c r="I42" s="11" t="s">
        <v>105</v>
      </c>
      <c r="J42" s="78"/>
      <c r="K42" s="78"/>
      <c r="L42" s="59"/>
      <c r="M42" s="11"/>
      <c r="O42" s="26"/>
      <c r="P42" s="80"/>
      <c r="Q42" s="81"/>
      <c r="S42" s="81"/>
      <c r="T42" s="81"/>
      <c r="U42" s="81"/>
      <c r="V42" s="83">
        <f t="shared" si="48"/>
        <v>37502500</v>
      </c>
      <c r="W42" s="83">
        <f t="shared" si="49"/>
        <v>37502500</v>
      </c>
      <c r="X42" s="83">
        <f t="shared" si="50"/>
        <v>75005000</v>
      </c>
      <c r="Y42" s="76" t="str">
        <f>IFERROR(__xludf.DUMMYFUNCTION("IF(ISBLANK(A11), """", FILTER(Antennas!$K$6:$K72,Antennas!$U$6:$U72=A11))"),"Relay")</f>
        <v>Relay</v>
      </c>
      <c r="Z42" s="83">
        <f t="shared" si="51"/>
        <v>0</v>
      </c>
      <c r="AA42" s="83">
        <f t="shared" si="52"/>
        <v>0</v>
      </c>
      <c r="AB42" s="83">
        <f t="shared" si="53"/>
        <v>0</v>
      </c>
      <c r="AC42" s="76" t="str">
        <f>IFERROR(__xludf.DUMMYFUNCTION("IF(ISBLANK(G11), """", FILTER(Antennas!$K$6:$K72,Antennas!$U$6:$U72=G11))"),"")</f>
        <v/>
      </c>
      <c r="AD42" s="76"/>
    </row>
    <row r="43" hidden="1">
      <c r="A43" s="85"/>
      <c r="B43" s="80"/>
      <c r="C43" s="80"/>
      <c r="D43" s="80"/>
      <c r="E43" s="80"/>
      <c r="F43" s="80"/>
      <c r="G43" s="81"/>
      <c r="H43" s="81"/>
      <c r="Q43" s="81"/>
      <c r="S43" s="81"/>
      <c r="T43" s="81"/>
      <c r="U43" s="81"/>
      <c r="V43" s="83">
        <f t="shared" si="48"/>
        <v>37502500</v>
      </c>
      <c r="W43" s="83">
        <f t="shared" si="49"/>
        <v>37502500</v>
      </c>
      <c r="X43" s="83">
        <f t="shared" si="50"/>
        <v>75005000</v>
      </c>
      <c r="Y43" s="76" t="str">
        <f>IFERROR(__xludf.DUMMYFUNCTION("IF(ISBLANK(A12), """", FILTER(Antennas!$K$6:$K72,Antennas!$U$6:$U72=A12))"),"Relay")</f>
        <v>Relay</v>
      </c>
      <c r="Z43" s="83">
        <f t="shared" si="51"/>
        <v>0</v>
      </c>
      <c r="AA43" s="83">
        <f t="shared" si="52"/>
        <v>0</v>
      </c>
      <c r="AB43" s="83">
        <f t="shared" si="53"/>
        <v>0</v>
      </c>
      <c r="AC43" s="76" t="str">
        <f>IFERROR(__xludf.DUMMYFUNCTION("IF(ISBLANK(G12), """", FILTER(Antennas!$K$6:$K72,Antennas!$U$6:$U72=G12))"),"")</f>
        <v/>
      </c>
      <c r="AD43" s="76"/>
    </row>
    <row r="44" hidden="1">
      <c r="A44" s="85"/>
      <c r="B44" s="80"/>
      <c r="C44" s="80"/>
      <c r="D44" s="80"/>
      <c r="E44" s="80"/>
      <c r="F44" s="80"/>
      <c r="G44" s="81"/>
      <c r="H44" s="81"/>
      <c r="I44" s="81"/>
      <c r="J44" s="80"/>
      <c r="K44" s="80"/>
      <c r="L44" s="81"/>
      <c r="M44" s="81"/>
      <c r="N44" s="81"/>
      <c r="O44" s="80"/>
      <c r="P44" s="80"/>
      <c r="Q44" s="81"/>
      <c r="S44" s="81"/>
      <c r="T44" s="81"/>
      <c r="U44" s="81"/>
      <c r="V44" s="83">
        <f t="shared" si="48"/>
        <v>2500</v>
      </c>
      <c r="W44" s="83">
        <f t="shared" si="49"/>
        <v>2500</v>
      </c>
      <c r="X44" s="83">
        <f t="shared" si="50"/>
        <v>5000</v>
      </c>
      <c r="Y44" s="76" t="str">
        <f>IFERROR(__xludf.DUMMYFUNCTION("IF(ISBLANK(A13), """", FILTER(Antennas!$K$6:$K72,Antennas!$U$6:$U72=A13))"),"Relay")</f>
        <v>Relay</v>
      </c>
      <c r="Z44" s="83">
        <f t="shared" si="51"/>
        <v>0</v>
      </c>
      <c r="AA44" s="83">
        <f t="shared" si="52"/>
        <v>0</v>
      </c>
      <c r="AB44" s="83">
        <f t="shared" si="53"/>
        <v>0</v>
      </c>
      <c r="AC44" s="76" t="str">
        <f>IFERROR(__xludf.DUMMYFUNCTION("IF(ISBLANK(G13), """", FILTER(Antennas!$K$6:$K72,Antennas!$U$6:$U72=G13))"),"")</f>
        <v/>
      </c>
      <c r="AD44" s="76"/>
    </row>
    <row r="45" hidden="1">
      <c r="A45" s="85"/>
      <c r="B45" s="80"/>
      <c r="C45" s="80"/>
      <c r="D45" s="80"/>
      <c r="E45" s="80"/>
      <c r="F45" s="80"/>
      <c r="G45" s="81"/>
      <c r="H45" s="81"/>
      <c r="I45" s="81"/>
      <c r="J45" s="80"/>
      <c r="K45" s="80"/>
      <c r="L45" s="81"/>
      <c r="M45" s="81"/>
      <c r="N45" s="81"/>
      <c r="O45" s="80"/>
      <c r="P45" s="80"/>
      <c r="Q45" s="81"/>
      <c r="S45" s="81"/>
      <c r="T45" s="81"/>
      <c r="U45" s="81"/>
      <c r="V45" s="83">
        <f t="shared" si="48"/>
        <v>2500</v>
      </c>
      <c r="W45" s="83">
        <f t="shared" si="49"/>
        <v>2500</v>
      </c>
      <c r="X45" s="83">
        <f t="shared" si="50"/>
        <v>5000</v>
      </c>
      <c r="Y45" s="76" t="str">
        <f>IFERROR(__xludf.DUMMYFUNCTION("IF(ISBLANK(A14), """", FILTER(Antennas!$K$6:$K72,Antennas!$U$6:$U72=A14))"),"Relay")</f>
        <v>Relay</v>
      </c>
      <c r="Z45" s="83">
        <f t="shared" si="51"/>
        <v>0</v>
      </c>
      <c r="AA45" s="83">
        <f t="shared" si="52"/>
        <v>0</v>
      </c>
      <c r="AB45" s="83">
        <f t="shared" si="53"/>
        <v>0</v>
      </c>
      <c r="AC45" s="76" t="str">
        <f>IFERROR(__xludf.DUMMYFUNCTION("IF(ISBLANK(G14), """", FILTER(Antennas!$K$6:$K72,Antennas!$U$6:$U72=G14))"),"")</f>
        <v/>
      </c>
      <c r="AD45" s="76"/>
    </row>
    <row r="46" hidden="1">
      <c r="A46" s="85"/>
      <c r="B46" s="80"/>
      <c r="C46" s="80"/>
      <c r="D46" s="80"/>
      <c r="E46" s="80"/>
      <c r="F46" s="80"/>
      <c r="G46" s="81"/>
      <c r="H46" s="81"/>
      <c r="I46" s="81"/>
      <c r="J46" s="80"/>
      <c r="K46" s="80"/>
      <c r="L46" s="81"/>
      <c r="M46" s="81"/>
      <c r="N46" s="81"/>
      <c r="O46" s="80"/>
      <c r="P46" s="80"/>
      <c r="Q46" s="81"/>
      <c r="S46" s="81"/>
      <c r="T46" s="81"/>
      <c r="U46" s="81"/>
      <c r="V46" s="83">
        <f t="shared" si="48"/>
        <v>2500</v>
      </c>
      <c r="W46" s="83">
        <f t="shared" si="49"/>
        <v>2500</v>
      </c>
      <c r="X46" s="83">
        <f t="shared" si="50"/>
        <v>5000</v>
      </c>
      <c r="Y46" s="76" t="str">
        <f>IFERROR(__xludf.DUMMYFUNCTION("IF(ISBLANK(A15), """", FILTER(Antennas!$K$6:$K72,Antennas!$U$6:$U72=A15))"),"Relay")</f>
        <v>Relay</v>
      </c>
      <c r="Z46" s="83">
        <f t="shared" si="51"/>
        <v>0</v>
      </c>
      <c r="AA46" s="83">
        <f t="shared" si="52"/>
        <v>0</v>
      </c>
      <c r="AB46" s="83">
        <f t="shared" si="53"/>
        <v>0</v>
      </c>
      <c r="AC46" s="76" t="str">
        <f>IFERROR(__xludf.DUMMYFUNCTION("IF(ISBLANK(G15), """", FILTER(Antennas!$K$6:$K72,Antennas!$U$6:$U72=G15))"),"")</f>
        <v/>
      </c>
      <c r="AD46" s="76"/>
    </row>
    <row r="47" hidden="1">
      <c r="A47" s="85"/>
      <c r="B47" s="80"/>
      <c r="C47" s="80"/>
      <c r="D47" s="80"/>
      <c r="E47" s="80"/>
      <c r="F47" s="80"/>
      <c r="G47" s="81"/>
      <c r="H47" s="81"/>
      <c r="I47" s="81"/>
      <c r="J47" s="80"/>
      <c r="K47" s="80"/>
      <c r="L47" s="81"/>
      <c r="M47" s="81"/>
      <c r="N47" s="81"/>
      <c r="O47" s="80"/>
      <c r="P47" s="80"/>
      <c r="Q47" s="81"/>
      <c r="S47" s="81"/>
      <c r="T47" s="81"/>
      <c r="U47" s="81"/>
      <c r="V47" s="83">
        <f t="shared" si="48"/>
        <v>2500</v>
      </c>
      <c r="W47" s="83">
        <f t="shared" si="49"/>
        <v>2500</v>
      </c>
      <c r="X47" s="83">
        <f t="shared" si="50"/>
        <v>5000</v>
      </c>
      <c r="Y47" s="76" t="str">
        <f>IFERROR(__xludf.DUMMYFUNCTION("IF(ISBLANK(A16), """", FILTER(Antennas!$K$6:$K72,Antennas!$U$6:$U72=A16))"),"Relay")</f>
        <v>Relay</v>
      </c>
      <c r="Z47" s="83">
        <f t="shared" si="51"/>
        <v>0</v>
      </c>
      <c r="AA47" s="83">
        <f t="shared" si="52"/>
        <v>0</v>
      </c>
      <c r="AB47" s="83">
        <f t="shared" si="53"/>
        <v>0</v>
      </c>
      <c r="AC47" s="76" t="str">
        <f>IFERROR(__xludf.DUMMYFUNCTION("IF(ISBLANK(G16), """", FILTER(Antennas!$K$6:$K72,Antennas!$U$6:$U72=G16))"),"")</f>
        <v/>
      </c>
      <c r="AD47" s="76"/>
    </row>
    <row r="48" hidden="1">
      <c r="A48" s="85"/>
      <c r="B48" s="80"/>
      <c r="C48" s="80"/>
      <c r="D48" s="80"/>
      <c r="E48" s="80"/>
      <c r="F48" s="80"/>
      <c r="G48" s="81"/>
      <c r="H48" s="81"/>
      <c r="I48" s="81"/>
      <c r="J48" s="80"/>
      <c r="K48" s="80"/>
      <c r="L48" s="81"/>
      <c r="M48" s="81"/>
      <c r="N48" s="81"/>
      <c r="O48" s="80"/>
      <c r="P48" s="80"/>
      <c r="Q48" s="81"/>
      <c r="S48" s="81"/>
      <c r="T48" s="81"/>
      <c r="U48" s="81"/>
      <c r="V48" s="83">
        <f t="shared" si="48"/>
        <v>0</v>
      </c>
      <c r="W48" s="83">
        <f t="shared" si="49"/>
        <v>0</v>
      </c>
      <c r="X48" s="83">
        <f t="shared" si="50"/>
        <v>0</v>
      </c>
      <c r="Y48" s="76" t="str">
        <f>IFERROR(__xludf.DUMMYFUNCTION("IF(ISBLANK(A17), """", FILTER(Antennas!$K$6:$K72,Antennas!$U$6:$U72=A17))"),"")</f>
        <v/>
      </c>
      <c r="Z48" s="83">
        <f t="shared" si="51"/>
        <v>0</v>
      </c>
      <c r="AA48" s="83">
        <f t="shared" si="52"/>
        <v>0</v>
      </c>
      <c r="AB48" s="83">
        <f t="shared" si="53"/>
        <v>0</v>
      </c>
      <c r="AC48" s="76" t="str">
        <f>IFERROR(__xludf.DUMMYFUNCTION("IF(ISBLANK(G17), """", FILTER(Antennas!$K$6:$K72,Antennas!$U$6:$U72=G17))"),"")</f>
        <v/>
      </c>
      <c r="AD48" s="76"/>
    </row>
    <row r="49" hidden="1">
      <c r="A49" s="85"/>
      <c r="B49" s="80"/>
      <c r="C49" s="80"/>
      <c r="D49" s="80"/>
      <c r="E49" s="80"/>
      <c r="F49" s="80"/>
      <c r="G49" s="81"/>
      <c r="H49" s="81"/>
      <c r="I49" s="81"/>
      <c r="J49" s="80"/>
      <c r="K49" s="80"/>
      <c r="L49" s="81"/>
      <c r="M49" s="81"/>
      <c r="N49" s="81"/>
      <c r="O49" s="80"/>
      <c r="P49" s="80"/>
      <c r="Q49" s="81"/>
      <c r="S49" s="81"/>
      <c r="T49" s="81"/>
      <c r="U49" s="81"/>
      <c r="V49" s="83">
        <f t="shared" si="48"/>
        <v>0</v>
      </c>
      <c r="W49" s="83">
        <f t="shared" si="49"/>
        <v>0</v>
      </c>
      <c r="X49" s="83">
        <f t="shared" si="50"/>
        <v>0</v>
      </c>
      <c r="Y49" s="76" t="str">
        <f>IFERROR(__xludf.DUMMYFUNCTION("IF(ISBLANK(A18), """", FILTER(Antennas!$K$6:$K72,Antennas!$U$6:$U72=A18))"),"")</f>
        <v/>
      </c>
      <c r="Z49" s="83">
        <f t="shared" si="51"/>
        <v>0</v>
      </c>
      <c r="AA49" s="83">
        <f t="shared" si="52"/>
        <v>0</v>
      </c>
      <c r="AB49" s="83">
        <f t="shared" si="53"/>
        <v>0</v>
      </c>
      <c r="AC49" s="76" t="str">
        <f>IFERROR(__xludf.DUMMYFUNCTION("IF(ISBLANK(G18), """", FILTER(Antennas!$K$6:$K72,Antennas!$U$6:$U72=G18))"),"")</f>
        <v/>
      </c>
      <c r="AD49" s="76"/>
    </row>
    <row r="50" hidden="1">
      <c r="A50" s="85"/>
      <c r="B50" s="80"/>
      <c r="C50" s="80"/>
      <c r="D50" s="80"/>
      <c r="E50" s="80"/>
      <c r="F50" s="80"/>
      <c r="G50" s="81"/>
      <c r="H50" s="81"/>
      <c r="I50" s="81"/>
      <c r="J50" s="80"/>
      <c r="K50" s="80"/>
      <c r="L50" s="81"/>
      <c r="M50" s="81"/>
      <c r="N50" s="81"/>
      <c r="O50" s="80"/>
      <c r="P50" s="80"/>
      <c r="Q50" s="81"/>
      <c r="S50" s="81"/>
      <c r="T50" s="81"/>
      <c r="U50" s="81"/>
      <c r="V50" s="83">
        <f t="shared" si="48"/>
        <v>0</v>
      </c>
      <c r="W50" s="83">
        <f t="shared" si="49"/>
        <v>0</v>
      </c>
      <c r="X50" s="83">
        <f t="shared" si="50"/>
        <v>0</v>
      </c>
      <c r="Y50" s="76" t="str">
        <f>IFERROR(__xludf.DUMMYFUNCTION("IF(ISBLANK(A19), """", FILTER(Antennas!$K$6:$K72,Antennas!$U$6:$U72=A19))"),"")</f>
        <v/>
      </c>
      <c r="Z50" s="83">
        <f t="shared" si="51"/>
        <v>0</v>
      </c>
      <c r="AA50" s="83">
        <f t="shared" si="52"/>
        <v>0</v>
      </c>
      <c r="AB50" s="83">
        <f t="shared" si="53"/>
        <v>0</v>
      </c>
      <c r="AC50" s="76" t="str">
        <f>IFERROR(__xludf.DUMMYFUNCTION("IF(ISBLANK(G19), """", FILTER(Antennas!$K$6:$K72,Antennas!$U$6:$U72=G19))"),"")</f>
        <v/>
      </c>
      <c r="AD50" s="76"/>
    </row>
    <row r="51" hidden="1">
      <c r="A51" s="85"/>
      <c r="B51" s="80"/>
      <c r="C51" s="80"/>
      <c r="D51" s="80"/>
      <c r="E51" s="80"/>
      <c r="F51" s="80"/>
      <c r="G51" s="81"/>
      <c r="H51" s="81"/>
      <c r="I51" s="81"/>
      <c r="J51" s="80"/>
      <c r="K51" s="80"/>
      <c r="L51" s="81"/>
      <c r="M51" s="81"/>
      <c r="N51" s="81"/>
      <c r="O51" s="80"/>
      <c r="P51" s="80"/>
      <c r="Q51" s="81"/>
      <c r="S51" s="81"/>
      <c r="T51" s="81"/>
      <c r="U51" s="81"/>
      <c r="V51" s="83">
        <f t="shared" si="48"/>
        <v>0</v>
      </c>
      <c r="W51" s="83">
        <f t="shared" si="49"/>
        <v>0</v>
      </c>
      <c r="X51" s="83">
        <f t="shared" si="50"/>
        <v>0</v>
      </c>
      <c r="Y51" s="76" t="str">
        <f>IFERROR(__xludf.DUMMYFUNCTION("IF(ISBLANK(A20), """", FILTER(Antennas!$K$6:$K72,Antennas!$U$6:$U72=A20))"),"")</f>
        <v/>
      </c>
      <c r="Z51" s="83">
        <f t="shared" si="51"/>
        <v>0</v>
      </c>
      <c r="AA51" s="83">
        <f t="shared" si="52"/>
        <v>0</v>
      </c>
      <c r="AB51" s="83">
        <f t="shared" si="53"/>
        <v>0</v>
      </c>
      <c r="AC51" s="76" t="str">
        <f>IFERROR(__xludf.DUMMYFUNCTION("IF(ISBLANK(G20), """", FILTER(Antennas!$K$6:$K72,Antennas!$U$6:$U72=G20))"),"")</f>
        <v/>
      </c>
      <c r="AD51" s="76"/>
    </row>
    <row r="52" hidden="1">
      <c r="A52" s="85"/>
      <c r="B52" s="80"/>
      <c r="C52" s="80"/>
      <c r="D52" s="80"/>
      <c r="E52" s="80"/>
      <c r="F52" s="80"/>
      <c r="G52" s="81"/>
      <c r="H52" s="81"/>
      <c r="I52" s="81"/>
      <c r="J52" s="80"/>
      <c r="K52" s="80"/>
      <c r="L52" s="81"/>
      <c r="M52" s="81"/>
      <c r="N52" s="81"/>
      <c r="O52" s="80"/>
      <c r="P52" s="80"/>
      <c r="Q52" s="81"/>
      <c r="S52" s="81"/>
      <c r="T52" s="81"/>
      <c r="U52" s="81"/>
      <c r="V52" s="83">
        <f t="shared" si="48"/>
        <v>0</v>
      </c>
      <c r="W52" s="83">
        <f t="shared" si="49"/>
        <v>0</v>
      </c>
      <c r="X52" s="83">
        <f t="shared" si="50"/>
        <v>0</v>
      </c>
      <c r="Y52" s="76" t="str">
        <f>IFERROR(__xludf.DUMMYFUNCTION("IF(ISBLANK(A21), """", FILTER(Antennas!$K$6:$K72,Antennas!$U$6:$U72=A21))"),"")</f>
        <v/>
      </c>
      <c r="Z52" s="83">
        <f t="shared" si="51"/>
        <v>0</v>
      </c>
      <c r="AA52" s="83">
        <f t="shared" si="52"/>
        <v>0</v>
      </c>
      <c r="AB52" s="83">
        <f t="shared" si="53"/>
        <v>0</v>
      </c>
      <c r="AC52" s="76" t="str">
        <f>IFERROR(__xludf.DUMMYFUNCTION("IF(ISBLANK(G21), """", FILTER(Antennas!$K$6:$K72,Antennas!$U$6:$U72=G21))"),"")</f>
        <v/>
      </c>
      <c r="AD52" s="76"/>
    </row>
    <row r="53" hidden="1">
      <c r="A53" s="85"/>
      <c r="B53" s="80"/>
      <c r="C53" s="80"/>
      <c r="D53" s="80"/>
      <c r="E53" s="80"/>
      <c r="F53" s="80"/>
      <c r="G53" s="81"/>
      <c r="H53" s="81"/>
      <c r="I53" s="81"/>
      <c r="J53" s="80"/>
      <c r="K53" s="80"/>
      <c r="L53" s="81"/>
      <c r="M53" s="81"/>
      <c r="N53" s="81"/>
      <c r="O53" s="80"/>
      <c r="P53" s="80"/>
      <c r="Q53" s="81"/>
      <c r="S53" s="81"/>
      <c r="T53" s="81"/>
      <c r="U53" s="81"/>
      <c r="V53" s="83">
        <f t="shared" si="48"/>
        <v>0</v>
      </c>
      <c r="W53" s="83">
        <f t="shared" si="49"/>
        <v>0</v>
      </c>
      <c r="X53" s="83">
        <f t="shared" si="50"/>
        <v>0</v>
      </c>
      <c r="Y53" s="76" t="str">
        <f>IFERROR(__xludf.DUMMYFUNCTION("IF(ISBLANK(A22), """", FILTER(Antennas!$K$6:$K72,Antennas!$U$6:$U72=A22))"),"")</f>
        <v/>
      </c>
      <c r="Z53" s="83">
        <f t="shared" si="51"/>
        <v>0</v>
      </c>
      <c r="AA53" s="83">
        <f t="shared" si="52"/>
        <v>0</v>
      </c>
      <c r="AB53" s="83">
        <f t="shared" si="53"/>
        <v>0</v>
      </c>
      <c r="AC53" s="76" t="str">
        <f>IFERROR(__xludf.DUMMYFUNCTION("IF(ISBLANK(G22), """", FILTER(Antennas!$K$6:$K72,Antennas!$U$6:$U72=G22))"),"")</f>
        <v/>
      </c>
      <c r="AD53" s="76"/>
    </row>
    <row r="54" hidden="1">
      <c r="A54" s="85"/>
      <c r="B54" s="80"/>
      <c r="C54" s="80"/>
      <c r="D54" s="80"/>
      <c r="E54" s="80"/>
      <c r="F54" s="80"/>
      <c r="G54" s="81"/>
      <c r="H54" s="81"/>
      <c r="I54" s="81"/>
      <c r="J54" s="80"/>
      <c r="K54" s="80"/>
      <c r="L54" s="81"/>
      <c r="M54" s="81"/>
      <c r="N54" s="81"/>
      <c r="O54" s="80"/>
      <c r="P54" s="80"/>
      <c r="Q54" s="81"/>
      <c r="S54" s="81"/>
      <c r="T54" s="81"/>
      <c r="U54" s="81"/>
      <c r="V54" s="83">
        <f t="shared" si="48"/>
        <v>0</v>
      </c>
      <c r="W54" s="83">
        <f t="shared" si="49"/>
        <v>0</v>
      </c>
      <c r="X54" s="83">
        <f t="shared" si="50"/>
        <v>0</v>
      </c>
      <c r="Y54" s="76" t="str">
        <f>IFERROR(__xludf.DUMMYFUNCTION("IF(ISBLANK(A23), """", FILTER(Antennas!$K$6:$K72,Antennas!$U$6:$U72=A23))"),"")</f>
        <v/>
      </c>
      <c r="Z54" s="83">
        <f t="shared" si="51"/>
        <v>0</v>
      </c>
      <c r="AA54" s="83">
        <f t="shared" si="52"/>
        <v>0</v>
      </c>
      <c r="AB54" s="83">
        <f t="shared" si="53"/>
        <v>0</v>
      </c>
      <c r="AC54" s="76" t="str">
        <f>IFERROR(__xludf.DUMMYFUNCTION("IF(ISBLANK(G23), """", FILTER(Antennas!$K$6:$K72,Antennas!$U$6:$U72=G23))"),"")</f>
        <v/>
      </c>
      <c r="AD54" s="76"/>
    </row>
    <row r="55" hidden="1">
      <c r="A55" s="85"/>
      <c r="B55" s="80"/>
      <c r="C55" s="80"/>
      <c r="D55" s="80"/>
      <c r="E55" s="80"/>
      <c r="F55" s="80"/>
      <c r="G55" s="81"/>
      <c r="H55" s="81"/>
      <c r="I55" s="81"/>
      <c r="J55" s="80"/>
      <c r="K55" s="80"/>
      <c r="L55" s="81"/>
      <c r="M55" s="81"/>
      <c r="N55" s="81"/>
      <c r="O55" s="80"/>
      <c r="P55" s="80"/>
      <c r="Q55" s="81"/>
      <c r="S55" s="81"/>
      <c r="T55" s="81"/>
      <c r="U55" s="81"/>
      <c r="V55" s="83">
        <f t="shared" si="48"/>
        <v>0</v>
      </c>
      <c r="W55" s="83">
        <f t="shared" si="49"/>
        <v>0</v>
      </c>
      <c r="X55" s="83">
        <f t="shared" si="50"/>
        <v>0</v>
      </c>
      <c r="Y55" s="76" t="str">
        <f>IFERROR(__xludf.DUMMYFUNCTION("IF(ISBLANK(A24), """", FILTER(Antennas!$K$6:$K72,Antennas!$U$6:$U72=A24))"),"")</f>
        <v/>
      </c>
      <c r="Z55" s="83">
        <f t="shared" si="51"/>
        <v>0</v>
      </c>
      <c r="AA55" s="83">
        <f t="shared" si="52"/>
        <v>0</v>
      </c>
      <c r="AB55" s="83">
        <f t="shared" si="53"/>
        <v>0</v>
      </c>
      <c r="AC55" s="76" t="str">
        <f>IFERROR(__xludf.DUMMYFUNCTION("IF(ISBLANK(G24), """", FILTER(Antennas!$K$6:$K72,Antennas!$U$6:$U72=G24))"),"")</f>
        <v/>
      </c>
      <c r="AD55" s="76"/>
    </row>
    <row r="56" hidden="1">
      <c r="A56" s="85"/>
      <c r="B56" s="80"/>
      <c r="C56" s="80"/>
      <c r="D56" s="80"/>
      <c r="E56" s="80"/>
      <c r="F56" s="80"/>
      <c r="G56" s="81"/>
      <c r="H56" s="81"/>
      <c r="I56" s="81"/>
      <c r="J56" s="80"/>
      <c r="K56" s="80"/>
      <c r="L56" s="81"/>
      <c r="M56" s="81"/>
      <c r="N56" s="81"/>
      <c r="O56" s="80"/>
      <c r="P56" s="80"/>
      <c r="Q56" s="81"/>
      <c r="S56" s="81"/>
      <c r="T56" s="81"/>
      <c r="U56" s="81"/>
      <c r="V56" s="83">
        <f t="shared" si="48"/>
        <v>0</v>
      </c>
      <c r="W56" s="83">
        <f t="shared" si="49"/>
        <v>0</v>
      </c>
      <c r="X56" s="83">
        <f t="shared" si="50"/>
        <v>0</v>
      </c>
      <c r="Y56" s="76" t="str">
        <f>IFERROR(__xludf.DUMMYFUNCTION("IF(ISBLANK(A25), """", FILTER(Antennas!$K$6:$K72,Antennas!$U$6:$U72=A25))"),"")</f>
        <v/>
      </c>
      <c r="Z56" s="83">
        <f t="shared" si="51"/>
        <v>0</v>
      </c>
      <c r="AA56" s="83">
        <f t="shared" si="52"/>
        <v>0</v>
      </c>
      <c r="AB56" s="83">
        <f t="shared" si="53"/>
        <v>0</v>
      </c>
      <c r="AC56" s="76" t="str">
        <f>IFERROR(__xludf.DUMMYFUNCTION("IF(ISBLANK(G25), """", FILTER(Antennas!$K$6:$K72,Antennas!$U$6:$U72=G25))"),"")</f>
        <v/>
      </c>
      <c r="AD56" s="76"/>
    </row>
    <row r="57" hidden="1">
      <c r="A57" s="85"/>
      <c r="B57" s="80"/>
      <c r="C57" s="80"/>
      <c r="D57" s="80"/>
      <c r="E57" s="80"/>
      <c r="F57" s="80"/>
      <c r="G57" s="81"/>
      <c r="H57" s="81"/>
      <c r="I57" s="81"/>
      <c r="J57" s="80"/>
      <c r="K57" s="80"/>
      <c r="L57" s="81"/>
      <c r="M57" s="81"/>
      <c r="N57" s="81"/>
      <c r="O57" s="80"/>
      <c r="P57" s="80"/>
      <c r="Q57" s="81"/>
      <c r="S57" s="81"/>
      <c r="T57" s="81"/>
      <c r="U57" s="81"/>
      <c r="V57" s="83">
        <f t="shared" si="48"/>
        <v>0</v>
      </c>
      <c r="W57" s="83">
        <f t="shared" si="49"/>
        <v>0</v>
      </c>
      <c r="X57" s="83">
        <f t="shared" si="50"/>
        <v>0</v>
      </c>
      <c r="Y57" s="76" t="str">
        <f>IFERROR(__xludf.DUMMYFUNCTION("IF(ISBLANK(A26), """", FILTER(Antennas!$K$6:$K72,Antennas!$U$6:$U72=A26))"),"")</f>
        <v/>
      </c>
      <c r="Z57" s="83">
        <f t="shared" si="51"/>
        <v>0</v>
      </c>
      <c r="AA57" s="83">
        <f t="shared" si="52"/>
        <v>0</v>
      </c>
      <c r="AB57" s="83">
        <f t="shared" si="53"/>
        <v>0</v>
      </c>
      <c r="AC57" s="76" t="str">
        <f>IFERROR(__xludf.DUMMYFUNCTION("IF(ISBLANK(G26), """", FILTER(Antennas!$K$6:$K72,Antennas!$U$6:$U72=G26))"),"")</f>
        <v/>
      </c>
      <c r="AD57" s="76"/>
    </row>
    <row r="58" hidden="1">
      <c r="A58" s="85"/>
      <c r="B58" s="80"/>
      <c r="C58" s="80"/>
      <c r="D58" s="80"/>
      <c r="E58" s="80"/>
      <c r="F58" s="80"/>
      <c r="G58" s="81"/>
      <c r="H58" s="81"/>
      <c r="I58" s="81"/>
      <c r="J58" s="80"/>
      <c r="K58" s="80"/>
      <c r="L58" s="81"/>
      <c r="M58" s="81"/>
      <c r="N58" s="81"/>
      <c r="O58" s="80"/>
      <c r="P58" s="80"/>
      <c r="Q58" s="81"/>
      <c r="S58" s="81"/>
      <c r="T58" s="81"/>
      <c r="U58" s="81"/>
      <c r="V58" s="83">
        <f t="shared" si="48"/>
        <v>0</v>
      </c>
      <c r="W58" s="83">
        <f t="shared" si="49"/>
        <v>0</v>
      </c>
      <c r="X58" s="83">
        <f t="shared" si="50"/>
        <v>0</v>
      </c>
      <c r="Y58" s="76" t="str">
        <f>IFERROR(__xludf.DUMMYFUNCTION("IF(ISBLANK(A27), """", FILTER(Antennas!$K$6:$K72,Antennas!$U$6:$U72=A27))"),"")</f>
        <v/>
      </c>
      <c r="Z58" s="83">
        <f t="shared" si="51"/>
        <v>0</v>
      </c>
      <c r="AA58" s="83">
        <f t="shared" si="52"/>
        <v>0</v>
      </c>
      <c r="AB58" s="83">
        <f t="shared" si="53"/>
        <v>0</v>
      </c>
      <c r="AC58" s="76" t="str">
        <f>IFERROR(__xludf.DUMMYFUNCTION("IF(ISBLANK(G27), """", FILTER(Antennas!$K$6:$K72,Antennas!$U$6:$U72=G27))"),"")</f>
        <v/>
      </c>
      <c r="AD58" s="76"/>
    </row>
    <row r="59" hidden="1">
      <c r="A59" s="85"/>
      <c r="B59" s="80"/>
      <c r="C59" s="80"/>
      <c r="D59" s="80"/>
      <c r="E59" s="80"/>
      <c r="F59" s="80"/>
      <c r="G59" s="81"/>
      <c r="H59" s="81"/>
      <c r="I59" s="81"/>
      <c r="J59" s="80"/>
      <c r="K59" s="80"/>
      <c r="L59" s="81"/>
      <c r="M59" s="81"/>
      <c r="N59" s="81"/>
      <c r="O59" s="80"/>
      <c r="P59" s="80"/>
      <c r="Q59" s="81"/>
      <c r="S59" s="81"/>
      <c r="T59" s="81"/>
      <c r="U59" s="81"/>
      <c r="V59" s="83">
        <f t="shared" si="48"/>
        <v>0</v>
      </c>
      <c r="W59" s="83">
        <f t="shared" si="49"/>
        <v>0</v>
      </c>
      <c r="X59" s="83">
        <f t="shared" si="50"/>
        <v>0</v>
      </c>
      <c r="Y59" s="76" t="str">
        <f>IFERROR(__xludf.DUMMYFUNCTION("IF(ISBLANK(A28), """", FILTER(Antennas!$K$6:$K72,Antennas!$U$6:$U72=A28))"),"")</f>
        <v/>
      </c>
      <c r="Z59" s="83">
        <f t="shared" si="51"/>
        <v>0</v>
      </c>
      <c r="AA59" s="83">
        <f t="shared" si="52"/>
        <v>0</v>
      </c>
      <c r="AB59" s="83">
        <f t="shared" si="53"/>
        <v>0</v>
      </c>
      <c r="AC59" s="76" t="str">
        <f>IFERROR(__xludf.DUMMYFUNCTION("IF(ISBLANK(G28), """", FILTER(Antennas!$K$6:$K72,Antennas!$U$6:$U72=G28))"),"")</f>
        <v/>
      </c>
      <c r="AD59" s="76"/>
    </row>
    <row r="60" hidden="1">
      <c r="A60" s="85"/>
      <c r="B60" s="80"/>
      <c r="C60" s="80"/>
      <c r="D60" s="80"/>
      <c r="E60" s="80"/>
      <c r="F60" s="80"/>
      <c r="G60" s="81"/>
      <c r="H60" s="81"/>
      <c r="I60" s="81"/>
      <c r="J60" s="80"/>
      <c r="K60" s="80"/>
      <c r="L60" s="81"/>
      <c r="M60" s="81"/>
      <c r="N60" s="81"/>
      <c r="O60" s="80"/>
      <c r="P60" s="80"/>
      <c r="Q60" s="81"/>
      <c r="S60" s="81"/>
      <c r="T60" s="81"/>
      <c r="U60" s="81"/>
      <c r="V60" s="86"/>
      <c r="W60" s="76"/>
      <c r="X60" s="76"/>
      <c r="Y60" s="76"/>
      <c r="Z60" s="76"/>
      <c r="AA60" s="76"/>
      <c r="AB60" s="76"/>
      <c r="AC60" s="76"/>
      <c r="AD60" s="76"/>
    </row>
    <row r="61" hidden="1">
      <c r="A61" s="85"/>
      <c r="B61" s="80"/>
      <c r="C61" s="80"/>
      <c r="D61" s="80"/>
      <c r="E61" s="80"/>
      <c r="F61" s="80"/>
      <c r="G61" s="81"/>
      <c r="H61" s="81"/>
      <c r="I61" s="81"/>
      <c r="J61" s="80"/>
      <c r="K61" s="80"/>
      <c r="L61" s="81"/>
      <c r="M61" s="81"/>
      <c r="N61" s="81"/>
      <c r="O61" s="80"/>
      <c r="P61" s="80"/>
      <c r="Q61" s="81"/>
      <c r="S61" s="81"/>
      <c r="T61" s="81"/>
      <c r="U61" s="81"/>
      <c r="V61" s="87">
        <f t="shared" ref="V61:W61" si="54">SUM(V40:V59)</f>
        <v>150020000</v>
      </c>
      <c r="W61" s="87">
        <f t="shared" si="54"/>
        <v>150020000</v>
      </c>
      <c r="X61" s="79"/>
      <c r="Y61" s="79"/>
      <c r="Z61" s="83">
        <f t="shared" ref="Z61:AA61" si="55">SUM(Z40:Z59)</f>
        <v>57937500</v>
      </c>
      <c r="AA61" s="87">
        <f t="shared" si="55"/>
        <v>20437500</v>
      </c>
      <c r="AB61" s="76"/>
      <c r="AC61" s="76"/>
      <c r="AD61" s="76"/>
    </row>
    <row r="62" hidden="1">
      <c r="A62" s="85"/>
      <c r="B62" s="80"/>
      <c r="C62" s="80"/>
      <c r="D62" s="80"/>
      <c r="E62" s="80"/>
      <c r="F62" s="80"/>
      <c r="G62" s="81"/>
      <c r="H62" s="81"/>
      <c r="I62" s="81"/>
      <c r="J62" s="80"/>
      <c r="K62" s="80"/>
      <c r="L62" s="81"/>
      <c r="M62" s="81"/>
      <c r="N62" s="81"/>
      <c r="O62" s="80"/>
      <c r="P62" s="80"/>
      <c r="Q62" s="81"/>
      <c r="S62" s="81"/>
      <c r="T62" s="81"/>
      <c r="U62" s="81"/>
      <c r="V62" s="86"/>
      <c r="W62" s="76"/>
      <c r="X62" s="76"/>
      <c r="Y62" s="76"/>
      <c r="Z62" s="76"/>
      <c r="AA62" s="76"/>
      <c r="AB62" s="76"/>
      <c r="AC62" s="76"/>
      <c r="AD62" s="76"/>
    </row>
    <row r="63" hidden="1">
      <c r="A63" s="85"/>
      <c r="B63" s="80"/>
      <c r="C63" s="80"/>
      <c r="D63" s="80"/>
      <c r="E63" s="80"/>
      <c r="F63" s="80"/>
      <c r="G63" s="81"/>
      <c r="H63" s="81"/>
      <c r="I63" s="81"/>
      <c r="J63" s="80"/>
      <c r="K63" s="80"/>
      <c r="L63" s="81"/>
      <c r="M63" s="81"/>
      <c r="N63" s="81"/>
      <c r="O63" s="80"/>
      <c r="P63" s="80"/>
      <c r="Q63" s="81"/>
      <c r="S63" s="81"/>
      <c r="T63" s="81"/>
      <c r="U63" s="81"/>
      <c r="V63" s="88">
        <f>V61/SUM(C9:C28)</f>
        <v>0.5</v>
      </c>
      <c r="W63" s="88">
        <f>IF(SUM(X40:X59)=0,0,W61/SUM(X40:X59))</f>
        <v>0.5</v>
      </c>
      <c r="X63" s="89"/>
      <c r="Y63" s="89"/>
      <c r="Z63" s="90">
        <f>Z61/SUM(I9:I28)</f>
        <v>0.4397533207</v>
      </c>
      <c r="AA63" s="88">
        <f>IF(SUM(AB40:AB59)=0,0,AA61/SUM(AB40:AB59))</f>
        <v>0.25</v>
      </c>
      <c r="AB63" s="76"/>
      <c r="AC63" s="76"/>
      <c r="AD63" s="76"/>
    </row>
    <row r="64" hidden="1">
      <c r="A64" s="85"/>
      <c r="B64" s="80"/>
      <c r="C64" s="80"/>
      <c r="D64" s="80"/>
      <c r="E64" s="80"/>
      <c r="F64" s="80"/>
      <c r="G64" s="81"/>
      <c r="H64" s="81"/>
      <c r="I64" s="81"/>
      <c r="J64" s="80"/>
      <c r="K64" s="80"/>
      <c r="L64" s="81"/>
      <c r="M64" s="81"/>
      <c r="N64" s="81"/>
      <c r="O64" s="80"/>
      <c r="P64" s="80"/>
      <c r="Q64" s="81"/>
      <c r="S64" s="81"/>
      <c r="T64" s="81"/>
      <c r="U64" s="81"/>
      <c r="V64" s="76"/>
      <c r="W64" s="76"/>
      <c r="X64" s="76"/>
      <c r="Y64" s="76"/>
      <c r="Z64" s="76"/>
      <c r="AA64" s="76"/>
      <c r="AB64" s="76"/>
      <c r="AC64" s="76"/>
      <c r="AD64" s="76"/>
    </row>
    <row r="65" hidden="1">
      <c r="A65" s="85"/>
      <c r="B65" s="80"/>
      <c r="C65" s="80"/>
      <c r="D65" s="80"/>
      <c r="E65" s="80"/>
      <c r="F65" s="80"/>
      <c r="G65" s="81"/>
      <c r="H65" s="81"/>
      <c r="I65" s="81"/>
      <c r="J65" s="80"/>
      <c r="K65" s="80"/>
      <c r="L65" s="81"/>
      <c r="M65" s="81"/>
      <c r="N65" s="81"/>
      <c r="O65" s="80"/>
      <c r="P65" s="80"/>
      <c r="Q65" s="81"/>
      <c r="S65" s="81"/>
      <c r="T65" s="81"/>
      <c r="U65" s="81"/>
      <c r="V65" s="86"/>
      <c r="W65" s="76"/>
      <c r="X65" s="76"/>
      <c r="Y65" s="76"/>
      <c r="Z65" s="76"/>
      <c r="AA65" s="76"/>
      <c r="AB65" s="76"/>
      <c r="AC65" s="76"/>
      <c r="AD65" s="76"/>
    </row>
    <row r="66" hidden="1">
      <c r="A66" s="85"/>
      <c r="B66" s="80"/>
      <c r="C66" s="80"/>
      <c r="D66" s="80"/>
      <c r="E66" s="80"/>
      <c r="F66" s="80"/>
      <c r="G66" s="81"/>
      <c r="H66" s="81"/>
      <c r="I66" s="81"/>
      <c r="J66" s="80"/>
      <c r="K66" s="80"/>
      <c r="L66" s="81"/>
      <c r="M66" s="81"/>
      <c r="N66" s="81"/>
      <c r="O66" s="80"/>
      <c r="P66" s="80"/>
      <c r="Q66" s="81"/>
      <c r="S66" s="81"/>
      <c r="T66" s="81"/>
      <c r="U66" s="81"/>
      <c r="V66" s="86"/>
      <c r="W66" s="76"/>
      <c r="X66" s="76"/>
      <c r="Y66" s="76"/>
      <c r="Z66" s="76"/>
      <c r="AA66" s="76"/>
      <c r="AB66" s="76"/>
      <c r="AC66" s="76"/>
      <c r="AD66" s="76"/>
    </row>
    <row r="67" hidden="1">
      <c r="A67" s="85"/>
      <c r="B67" s="80"/>
      <c r="C67" s="80"/>
      <c r="D67" s="80"/>
      <c r="E67" s="80"/>
      <c r="F67" s="80"/>
      <c r="G67" s="81"/>
      <c r="H67" s="81"/>
      <c r="I67" s="81"/>
      <c r="J67" s="80"/>
      <c r="K67" s="80"/>
      <c r="L67" s="81"/>
      <c r="M67" s="81"/>
      <c r="N67" s="81"/>
      <c r="O67" s="80"/>
      <c r="P67" s="80"/>
      <c r="Q67" s="81"/>
      <c r="S67" s="81"/>
      <c r="T67" s="81"/>
      <c r="U67" s="81"/>
      <c r="V67" s="86"/>
      <c r="W67" s="76"/>
      <c r="X67" s="76"/>
      <c r="Y67" s="76"/>
      <c r="Z67" s="76"/>
      <c r="AA67" s="76"/>
      <c r="AB67" s="76"/>
      <c r="AC67" s="76"/>
      <c r="AD67" s="76"/>
    </row>
    <row r="68" hidden="1">
      <c r="A68" s="85"/>
      <c r="B68" s="80"/>
      <c r="C68" s="80"/>
      <c r="D68" s="80"/>
      <c r="E68" s="80"/>
      <c r="F68" s="80"/>
      <c r="G68" s="81"/>
      <c r="H68" s="81"/>
      <c r="I68" s="81"/>
      <c r="J68" s="80"/>
      <c r="K68" s="80"/>
      <c r="L68" s="81"/>
      <c r="M68" s="81"/>
      <c r="N68" s="81"/>
      <c r="O68" s="80"/>
      <c r="P68" s="80"/>
      <c r="Q68" s="81"/>
      <c r="S68" s="81"/>
      <c r="T68" s="81"/>
      <c r="U68" s="81"/>
      <c r="V68" s="86"/>
      <c r="W68" s="76"/>
      <c r="X68" s="76"/>
      <c r="Y68" s="76"/>
      <c r="Z68" s="76"/>
      <c r="AA68" s="76"/>
      <c r="AB68" s="76"/>
      <c r="AC68" s="76"/>
      <c r="AD68" s="76"/>
    </row>
    <row r="69" hidden="1">
      <c r="A69" s="85"/>
      <c r="B69" s="80"/>
      <c r="C69" s="80"/>
      <c r="D69" s="80"/>
      <c r="E69" s="80"/>
      <c r="F69" s="80"/>
      <c r="G69" s="81"/>
      <c r="H69" s="81"/>
      <c r="I69" s="81"/>
      <c r="J69" s="80"/>
      <c r="K69" s="80"/>
      <c r="L69" s="81"/>
      <c r="M69" s="81"/>
      <c r="N69" s="81"/>
      <c r="O69" s="80"/>
      <c r="P69" s="80"/>
      <c r="Q69" s="81"/>
      <c r="S69" s="81"/>
      <c r="T69" s="81"/>
      <c r="U69" s="81"/>
      <c r="V69" s="81"/>
    </row>
    <row r="70" hidden="1">
      <c r="A70" s="85"/>
      <c r="B70" s="80"/>
      <c r="C70" s="80"/>
      <c r="D70" s="80"/>
      <c r="E70" s="80"/>
      <c r="F70" s="80"/>
      <c r="G70" s="81"/>
      <c r="H70" s="81"/>
      <c r="I70" s="81"/>
      <c r="J70" s="80"/>
      <c r="K70" s="80"/>
      <c r="L70" s="81"/>
      <c r="M70" s="81"/>
      <c r="N70" s="81"/>
      <c r="O70" s="80"/>
      <c r="P70" s="80"/>
      <c r="Q70" s="81"/>
      <c r="S70" s="81"/>
      <c r="T70" s="81"/>
      <c r="U70" s="81"/>
      <c r="V70" s="81"/>
    </row>
    <row r="71" hidden="1">
      <c r="A71" s="85"/>
      <c r="B71" s="80"/>
      <c r="C71" s="80"/>
      <c r="D71" s="80"/>
      <c r="E71" s="80"/>
      <c r="F71" s="80"/>
      <c r="G71" s="81"/>
      <c r="H71" s="81"/>
      <c r="I71" s="81"/>
      <c r="J71" s="80"/>
      <c r="K71" s="80"/>
      <c r="L71" s="81"/>
      <c r="M71" s="81"/>
      <c r="N71" s="81"/>
      <c r="O71" s="80"/>
      <c r="P71" s="80"/>
      <c r="Q71" s="81"/>
      <c r="S71" s="81"/>
      <c r="T71" s="81"/>
      <c r="U71" s="81"/>
      <c r="V71" s="81"/>
    </row>
    <row r="72" hidden="1">
      <c r="A72" s="85"/>
      <c r="B72" s="80"/>
      <c r="C72" s="80"/>
      <c r="D72" s="80"/>
      <c r="E72" s="80"/>
      <c r="F72" s="80"/>
      <c r="G72" s="81"/>
      <c r="H72" s="81"/>
      <c r="I72" s="81"/>
      <c r="J72" s="80"/>
      <c r="K72" s="80"/>
      <c r="L72" s="81"/>
      <c r="M72" s="81"/>
      <c r="N72" s="81"/>
      <c r="O72" s="80"/>
      <c r="P72" s="80"/>
      <c r="Q72" s="81"/>
      <c r="S72" s="81"/>
      <c r="T72" s="81"/>
      <c r="U72" s="81"/>
      <c r="V72" s="81"/>
    </row>
  </sheetData>
  <mergeCells count="12">
    <mergeCell ref="P2:Q3"/>
    <mergeCell ref="P11:P13"/>
    <mergeCell ref="Q11:Q13"/>
    <mergeCell ref="S11:S13"/>
    <mergeCell ref="T11:T13"/>
    <mergeCell ref="S1:U1"/>
    <mergeCell ref="N2:N3"/>
    <mergeCell ref="S2:S3"/>
    <mergeCell ref="T2:T3"/>
    <mergeCell ref="U2:U3"/>
    <mergeCell ref="S6:U6"/>
    <mergeCell ref="S7:U7"/>
  </mergeCells>
  <conditionalFormatting sqref="P14:Q14 S14:T14 P16:Q23 S16:T23 P25:Q28 S25:T28">
    <cfRule type="expression" dxfId="0" priority="1">
      <formula>IF(P14&gt;0.75,1,0)</formula>
    </cfRule>
  </conditionalFormatting>
  <conditionalFormatting sqref="P14:Q14 S14:T14 P16:Q23 S16:T23 P25:Q28 S25:T28">
    <cfRule type="expression" dxfId="1" priority="2">
      <formula>IF(P14&gt;0.5,1,0)</formula>
    </cfRule>
  </conditionalFormatting>
  <conditionalFormatting sqref="P14:Q14 S14:T14 P16:Q23 S16:T23 P25:Q28 S25:T28">
    <cfRule type="expression" dxfId="2" priority="3">
      <formula>IF(P14&gt;0.25,1,0)</formula>
    </cfRule>
  </conditionalFormatting>
  <conditionalFormatting sqref="P14:Q14 S14:T14 P16:Q23 S16:T23 P25:Q28 S25:T28">
    <cfRule type="expression" dxfId="3" priority="4">
      <formula>IF(P14&gt;-1,1,0)</formula>
    </cfRule>
  </conditionalFormatting>
  <dataValidations>
    <dataValidation type="list" allowBlank="1" showErrorMessage="1" sqref="A9:A28 G9:G28">
      <formula1>Antennas!$U$6:$U$74</formula1>
    </dataValidation>
    <dataValidation type="decimal" allowBlank="1" showDropDown="1" showInputMessage="1" showErrorMessage="1" prompt="Enter a number between 0.1 and 100" sqref="R5:S5">
      <formula1>0.1</formula1>
      <formula2>100.0</formula2>
    </dataValidation>
    <dataValidation type="decimal" allowBlank="1" showInputMessage="1" showErrorMessage="1" prompt="Enter a number between 0 and 100" sqref="T5:U5">
      <formula1>0.0</formula1>
      <formula2>100.0</formula2>
    </dataValidation>
    <dataValidation type="list" allowBlank="1" showErrorMessage="1" sqref="O14">
      <formula1>'System Stats'!$C$43:$M$43</formula1>
    </dataValidation>
    <dataValidation type="list" allowBlank="1" showErrorMessage="1" sqref="N10">
      <formula1>'NFEx (Reflectors) Calculator'!$V$5:$V$35</formula1>
    </dataValidation>
    <dataValidation type="list" allowBlank="1" showErrorMessage="1" sqref="B9:B28 H9:H28">
      <formula1>Antennas!$U$75:$U$80</formula1>
    </dataValidation>
    <dataValidation type="list" allowBlank="1" showErrorMessage="1" sqref="N14">
      <formula1>'System Stats'!$B$44:$B$54</formula1>
    </dataValidation>
  </dataValidations>
  <hyperlinks>
    <hyperlink r:id="rId1" ref="A39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4.0" topLeftCell="A5" activePane="bottomLeft" state="frozen"/>
      <selection activeCell="B6" sqref="B6" pane="bottomLeft"/>
    </sheetView>
  </sheetViews>
  <sheetFormatPr customHeight="1" defaultColWidth="12.63" defaultRowHeight="15.75"/>
  <cols>
    <col customWidth="1" min="1" max="1" width="20.63"/>
    <col customWidth="1" min="2" max="2" width="4.88"/>
    <col customWidth="1" min="3" max="3" width="3.5"/>
    <col customWidth="1" min="4" max="4" width="14.63"/>
    <col customWidth="1" min="5" max="5" width="23.25"/>
    <col customWidth="1" min="6" max="6" width="32.13"/>
    <col customWidth="1" min="7" max="7" width="22.63"/>
    <col customWidth="1" min="8" max="8" width="8.25"/>
    <col customWidth="1" min="9" max="9" width="7.0"/>
    <col customWidth="1" min="10" max="10" width="9.25"/>
    <col customWidth="1" min="11" max="11" width="11.63"/>
    <col customWidth="1" min="12" max="12" width="11.75"/>
    <col customWidth="1" min="14" max="15" width="11.75"/>
    <col customWidth="1" min="16" max="16" width="10.75"/>
    <col customWidth="1" min="17" max="18" width="11.88"/>
    <col customWidth="1" min="19" max="19" width="17.13"/>
    <col customWidth="1" min="21" max="21" width="32.13"/>
    <col customWidth="1" min="22" max="22" width="12.25"/>
    <col customWidth="1" min="23" max="24" width="4.0"/>
  </cols>
  <sheetData>
    <row r="1">
      <c r="A1" s="92" t="s">
        <v>121</v>
      </c>
      <c r="B1" s="93"/>
      <c r="C1" s="94" t="s">
        <v>122</v>
      </c>
      <c r="D1" s="95"/>
      <c r="E1" s="96"/>
      <c r="F1" s="95"/>
      <c r="G1" s="95"/>
      <c r="H1" s="95"/>
      <c r="I1" s="95"/>
      <c r="J1" s="76"/>
      <c r="K1" s="93"/>
      <c r="L1" s="93"/>
      <c r="M1" s="97" t="s">
        <v>123</v>
      </c>
      <c r="N1" s="39"/>
      <c r="O1" s="98" t="s">
        <v>124</v>
      </c>
      <c r="U1" s="76" t="str">
        <f>CHAR(10004)</f>
        <v>✔</v>
      </c>
    </row>
    <row r="2">
      <c r="E2" s="99"/>
      <c r="R2" s="50"/>
      <c r="U2" s="76" t="str">
        <f>CHAR(10006)</f>
        <v>✖</v>
      </c>
    </row>
    <row r="3">
      <c r="E3" s="99"/>
      <c r="R3" s="50" t="s">
        <v>125</v>
      </c>
    </row>
    <row r="4">
      <c r="A4" s="100" t="s">
        <v>126</v>
      </c>
      <c r="E4" s="50" t="s">
        <v>127</v>
      </c>
      <c r="F4" s="61" t="s">
        <v>128</v>
      </c>
      <c r="G4" s="61" t="s">
        <v>129</v>
      </c>
      <c r="H4" s="61" t="s">
        <v>130</v>
      </c>
      <c r="I4" s="101" t="s">
        <v>131</v>
      </c>
      <c r="J4" s="61" t="s">
        <v>132</v>
      </c>
      <c r="K4" s="102" t="s">
        <v>133</v>
      </c>
      <c r="L4" s="102" t="s">
        <v>134</v>
      </c>
      <c r="M4" s="103" t="s">
        <v>30</v>
      </c>
      <c r="N4" s="104" t="s">
        <v>135</v>
      </c>
      <c r="O4" s="104" t="s">
        <v>136</v>
      </c>
      <c r="P4" s="104" t="s">
        <v>137</v>
      </c>
      <c r="Q4" s="101" t="s">
        <v>138</v>
      </c>
      <c r="R4" s="101" t="s">
        <v>139</v>
      </c>
      <c r="S4" s="101" t="s">
        <v>140</v>
      </c>
    </row>
    <row r="5">
      <c r="A5" s="105"/>
      <c r="B5" s="105"/>
      <c r="C5" s="105"/>
      <c r="D5" s="105"/>
      <c r="E5" s="105"/>
      <c r="F5" s="106"/>
      <c r="G5" s="106"/>
      <c r="H5" s="107"/>
      <c r="I5" s="108"/>
      <c r="J5" s="12"/>
      <c r="K5" s="12"/>
      <c r="L5" s="12"/>
      <c r="M5" s="109"/>
      <c r="N5" s="110"/>
      <c r="O5" s="110"/>
      <c r="P5" s="110"/>
      <c r="Q5" s="111"/>
      <c r="R5" s="12"/>
      <c r="S5" s="12"/>
    </row>
    <row r="6">
      <c r="A6" s="112" t="str">
        <f>IFERROR(__xludf.DUMMYFUNCTION("UNIQUE(FILTER(E6:E56,NOT(ISBLANK(E6:E56))))"),"SQUAD")</f>
        <v>SQUAD</v>
      </c>
      <c r="B6" s="105" t="s">
        <v>141</v>
      </c>
      <c r="C6" s="105"/>
      <c r="D6" s="105" t="str">
        <f t="array" ref="D6">INDEX($A$6:$B156,MATCH(TRUE,EXACT(E6,$A$6:$A156),0),2)</f>
        <v>✔</v>
      </c>
      <c r="E6" s="105" t="s">
        <v>142</v>
      </c>
      <c r="F6" s="113" t="s">
        <v>143</v>
      </c>
      <c r="G6" s="106"/>
      <c r="H6" s="114">
        <v>38000.0</v>
      </c>
      <c r="I6" s="108"/>
      <c r="J6" s="12"/>
      <c r="K6" s="12" t="s">
        <v>144</v>
      </c>
      <c r="L6" s="12" t="s">
        <v>144</v>
      </c>
      <c r="M6" s="109">
        <v>2.0E9</v>
      </c>
      <c r="N6" s="110">
        <v>0.0</v>
      </c>
      <c r="O6" s="110">
        <v>0.0</v>
      </c>
      <c r="P6" s="110"/>
      <c r="Q6" s="111"/>
      <c r="R6" s="12"/>
      <c r="S6" s="12"/>
      <c r="U6" t="str">
        <f>IFERROR(__xludf.DUMMYFUNCTION("IF(D6 = CHAR(10004),QUERY(F6:O6, ""select F, M, N, O""),)"),"Deep Space Network 1")</f>
        <v>Deep Space Network 1</v>
      </c>
      <c r="V6" s="115">
        <f>IFERROR(__xludf.DUMMYFUNCTION("""COMPUTED_VALUE"""),2.0E9)</f>
        <v>2000000000</v>
      </c>
      <c r="W6" s="33">
        <f>IFERROR(__xludf.DUMMYFUNCTION("""COMPUTED_VALUE"""),0.0)</f>
        <v>0</v>
      </c>
      <c r="X6" s="33">
        <f>IFERROR(__xludf.DUMMYFUNCTION("""COMPUTED_VALUE"""),0.0)</f>
        <v>0</v>
      </c>
    </row>
    <row r="7">
      <c r="A7" s="112" t="str">
        <f>IFERROR(__xludf.DUMMYFUNCTION("""COMPUTED_VALUE"""),"ReStock Plus")</f>
        <v>ReStock Plus</v>
      </c>
      <c r="B7" s="105" t="s">
        <v>141</v>
      </c>
      <c r="C7" s="105"/>
      <c r="D7" s="105" t="str">
        <f t="array" ref="D7">INDEX($A$6:$B156,MATCH(TRUE,EXACT(E7,$A$6:$A156),0),2)</f>
        <v>✔</v>
      </c>
      <c r="E7" s="105" t="s">
        <v>142</v>
      </c>
      <c r="F7" s="113" t="s">
        <v>35</v>
      </c>
      <c r="G7" s="106"/>
      <c r="H7" s="116">
        <v>150000.0</v>
      </c>
      <c r="I7" s="108"/>
      <c r="J7" s="12"/>
      <c r="K7" s="12" t="s">
        <v>144</v>
      </c>
      <c r="L7" s="12" t="s">
        <v>144</v>
      </c>
      <c r="M7" s="109">
        <v>5.0E10</v>
      </c>
      <c r="N7" s="110">
        <v>0.0</v>
      </c>
      <c r="O7" s="110">
        <v>0.0</v>
      </c>
      <c r="P7" s="110"/>
      <c r="Q7" s="111"/>
      <c r="R7" s="12"/>
      <c r="S7" s="12"/>
      <c r="U7" t="str">
        <f>IFERROR(__xludf.DUMMYFUNCTION("IF(D7 = CHAR(10004),QUERY(F7:O7, ""select F, M, N, O""),)"),"Deep Space Network 2")</f>
        <v>Deep Space Network 2</v>
      </c>
      <c r="V7" s="115">
        <f>IFERROR(__xludf.DUMMYFUNCTION("""COMPUTED_VALUE"""),5.0E10)</f>
        <v>50000000000</v>
      </c>
      <c r="W7" s="33">
        <f>IFERROR(__xludf.DUMMYFUNCTION("""COMPUTED_VALUE"""),0.0)</f>
        <v>0</v>
      </c>
      <c r="X7" s="33">
        <f>IFERROR(__xludf.DUMMYFUNCTION("""COMPUTED_VALUE"""),0.0)</f>
        <v>0</v>
      </c>
    </row>
    <row r="8">
      <c r="A8" s="112" t="str">
        <f>IFERROR(__xludf.DUMMYFUNCTION("""COMPUTED_VALUE"""),"CommNet Antennas Extension")</f>
        <v>CommNet Antennas Extension</v>
      </c>
      <c r="B8" s="105" t="s">
        <v>145</v>
      </c>
      <c r="C8" s="105"/>
      <c r="D8" s="105" t="str">
        <f t="array" ref="D8">INDEX($A$6:$B156,MATCH(TRUE,EXACT(E8,$A$6:$A156),0),2)</f>
        <v>✔</v>
      </c>
      <c r="E8" s="105" t="s">
        <v>142</v>
      </c>
      <c r="F8" s="113" t="s">
        <v>146</v>
      </c>
      <c r="G8" s="106"/>
      <c r="H8" s="116">
        <v>563000.0</v>
      </c>
      <c r="I8" s="108"/>
      <c r="J8" s="12"/>
      <c r="K8" s="12" t="s">
        <v>144</v>
      </c>
      <c r="L8" s="12" t="s">
        <v>144</v>
      </c>
      <c r="M8" s="109">
        <v>2.5E11</v>
      </c>
      <c r="N8" s="110">
        <v>0.0</v>
      </c>
      <c r="O8" s="110">
        <v>0.0</v>
      </c>
      <c r="P8" s="110"/>
      <c r="Q8" s="111"/>
      <c r="R8" s="12"/>
      <c r="S8" s="12"/>
      <c r="U8" t="str">
        <f>IFERROR(__xludf.DUMMYFUNCTION("IF(D8 = CHAR(10004),QUERY(F8:O8, ""select F, M, N, O""),)"),"Deep Space Network 3")</f>
        <v>Deep Space Network 3</v>
      </c>
      <c r="V8" s="115">
        <f>IFERROR(__xludf.DUMMYFUNCTION("""COMPUTED_VALUE"""),2.5E11)</f>
        <v>250000000000</v>
      </c>
      <c r="W8" s="33">
        <f>IFERROR(__xludf.DUMMYFUNCTION("""COMPUTED_VALUE"""),0.0)</f>
        <v>0</v>
      </c>
      <c r="X8" s="33">
        <f>IFERROR(__xludf.DUMMYFUNCTION("""COMPUTED_VALUE"""),0.0)</f>
        <v>0</v>
      </c>
    </row>
    <row r="9">
      <c r="A9" s="112" t="str">
        <f>IFERROR(__xludf.DUMMYFUNCTION("""COMPUTED_VALUE"""),"DMagic")</f>
        <v>DMagic</v>
      </c>
      <c r="B9" s="105" t="s">
        <v>145</v>
      </c>
      <c r="C9" s="105"/>
      <c r="D9" s="105" t="str">
        <f t="array" ref="D9">INDEX($A$6:$B156,MATCH(TRUE,EXACT(E9,$A$6:$A156),0),2)</f>
        <v>✔</v>
      </c>
      <c r="E9" s="105" t="s">
        <v>142</v>
      </c>
      <c r="F9" s="113" t="s">
        <v>147</v>
      </c>
      <c r="G9" s="106"/>
      <c r="H9" s="117">
        <v>2185000.0</v>
      </c>
      <c r="I9" s="108"/>
      <c r="J9" s="12"/>
      <c r="K9" s="12" t="s">
        <v>144</v>
      </c>
      <c r="L9" s="12" t="s">
        <v>144</v>
      </c>
      <c r="M9" s="109">
        <v>2.0E12</v>
      </c>
      <c r="N9" s="110">
        <v>0.0</v>
      </c>
      <c r="O9" s="110">
        <v>0.0</v>
      </c>
      <c r="P9" s="110"/>
      <c r="Q9" s="111"/>
      <c r="R9" s="12"/>
      <c r="S9" s="12"/>
      <c r="U9" t="str">
        <f>IFERROR(__xludf.DUMMYFUNCTION("IF(D9 = CHAR(10004),QUERY(F9:O9, ""select F, M, N, O""),)"),"Deep Space Network 4 - OPM")</f>
        <v>Deep Space Network 4 - OPM</v>
      </c>
      <c r="V9" s="115">
        <f>IFERROR(__xludf.DUMMYFUNCTION("""COMPUTED_VALUE"""),2.0E12)</f>
        <v>2000000000000</v>
      </c>
      <c r="W9" s="33">
        <f>IFERROR(__xludf.DUMMYFUNCTION("""COMPUTED_VALUE"""),0.0)</f>
        <v>0</v>
      </c>
      <c r="X9" s="33">
        <f>IFERROR(__xludf.DUMMYFUNCTION("""COMPUTED_VALUE"""),0.0)</f>
        <v>0</v>
      </c>
    </row>
    <row r="10">
      <c r="A10" s="112" t="str">
        <f>IFERROR(__xludf.DUMMYFUNCTION("""COMPUTED_VALUE"""),"Vens S' R'")</f>
        <v>Vens S' R'</v>
      </c>
      <c r="B10" s="105" t="s">
        <v>145</v>
      </c>
      <c r="C10" s="105"/>
      <c r="D10" s="105" t="str">
        <f t="array" ref="D10">INDEX($A$6:$B156,MATCH(TRUE,EXACT(E10,$A$6:$A156),0),2)</f>
        <v/>
      </c>
      <c r="E10" s="105"/>
      <c r="F10" s="113"/>
      <c r="G10" s="113"/>
      <c r="H10" s="117"/>
      <c r="I10" s="111"/>
      <c r="J10" s="22"/>
      <c r="K10" s="12"/>
      <c r="L10" s="12"/>
      <c r="M10" s="109"/>
      <c r="N10" s="110"/>
      <c r="O10" s="110"/>
      <c r="P10" s="110"/>
      <c r="Q10" s="111"/>
      <c r="R10" s="12"/>
      <c r="S10" s="12"/>
      <c r="U10" t="str">
        <f>IFERROR(__xludf.DUMMYFUNCTION("IF(D10 = CHAR(10004),QUERY(F10:O10, ""select F, M, N, O""),)"),"")</f>
        <v/>
      </c>
    </row>
    <row r="11">
      <c r="A11" s="112" t="str">
        <f>IFERROR(__xludf.DUMMYFUNCTION("""COMPUTED_VALUE"""),"JX2Antenna")</f>
        <v>JX2Antenna</v>
      </c>
      <c r="B11" s="105" t="s">
        <v>145</v>
      </c>
      <c r="C11" s="105"/>
      <c r="D11" s="105" t="str">
        <f t="array" ref="D11">INDEX($A$6:$B156,MATCH(TRUE,EXACT(E11,$A$6:$A156),0),2)</f>
        <v>✔</v>
      </c>
      <c r="E11" s="105" t="s">
        <v>142</v>
      </c>
      <c r="F11" s="113" t="s">
        <v>148</v>
      </c>
      <c r="G11" s="113" t="s">
        <v>149</v>
      </c>
      <c r="H11" s="117" t="s">
        <v>149</v>
      </c>
      <c r="I11" s="118" t="s">
        <v>149</v>
      </c>
      <c r="J11" s="12" t="s">
        <v>149</v>
      </c>
      <c r="K11" s="12" t="s">
        <v>150</v>
      </c>
      <c r="L11" s="12" t="s">
        <v>151</v>
      </c>
      <c r="M11" s="109">
        <v>5000.0</v>
      </c>
      <c r="N11" s="110">
        <v>0.0</v>
      </c>
      <c r="O11" s="110">
        <v>0.0</v>
      </c>
      <c r="P11" s="110">
        <f t="shared" ref="P11:P20" si="1">S11/Q11</f>
        <v>12</v>
      </c>
      <c r="Q11" s="111">
        <v>1.0</v>
      </c>
      <c r="R11" s="12">
        <v>2.0</v>
      </c>
      <c r="S11" s="12">
        <v>12.0</v>
      </c>
      <c r="U11" t="str">
        <f>IFERROR(__xludf.DUMMYFUNCTION("IF(D11 = CHAR(10004),QUERY(F11:O11, ""select F, M, N, O""),)"),"Command Module Built-in")</f>
        <v>Command Module Built-in</v>
      </c>
      <c r="V11" s="115">
        <f>IFERROR(__xludf.DUMMYFUNCTION("""COMPUTED_VALUE"""),5000.0)</f>
        <v>5000</v>
      </c>
      <c r="W11" s="33">
        <f>IFERROR(__xludf.DUMMYFUNCTION("""COMPUTED_VALUE"""),0.0)</f>
        <v>0</v>
      </c>
      <c r="X11" s="33">
        <f>IFERROR(__xludf.DUMMYFUNCTION("""COMPUTED_VALUE"""),0.0)</f>
        <v>0</v>
      </c>
    </row>
    <row r="12">
      <c r="A12" s="112" t="str">
        <f>IFERROR(__xludf.DUMMYFUNCTION("""COMPUTED_VALUE"""),"ProbesPlus")</f>
        <v>ProbesPlus</v>
      </c>
      <c r="B12" s="105" t="s">
        <v>145</v>
      </c>
      <c r="C12" s="105"/>
      <c r="D12" s="105" t="str">
        <f t="array" ref="D12">INDEX($A$6:$B156,MATCH(TRUE,EXACT(E12,$A$6:$A156),0),2)</f>
        <v>✔</v>
      </c>
      <c r="E12" s="105" t="s">
        <v>142</v>
      </c>
      <c r="F12" s="106" t="s">
        <v>152</v>
      </c>
      <c r="G12" s="7" t="s">
        <v>153</v>
      </c>
      <c r="H12" s="7">
        <v>300.0</v>
      </c>
      <c r="I12" s="7">
        <v>0.005</v>
      </c>
      <c r="J12" s="12">
        <v>2.0</v>
      </c>
      <c r="K12" s="12" t="s">
        <v>4</v>
      </c>
      <c r="L12" s="12" t="s">
        <v>154</v>
      </c>
      <c r="M12" s="109">
        <v>500000.0</v>
      </c>
      <c r="N12" s="110">
        <v>0.9</v>
      </c>
      <c r="O12" s="110">
        <v>1.0</v>
      </c>
      <c r="P12" s="110">
        <f t="shared" si="1"/>
        <v>20</v>
      </c>
      <c r="Q12" s="12">
        <v>0.6</v>
      </c>
      <c r="R12" s="12">
        <v>2.0</v>
      </c>
      <c r="S12" s="12">
        <v>12.0</v>
      </c>
      <c r="U12" t="str">
        <f>IFERROR(__xludf.DUMMYFUNCTION("IF(D12 = CHAR(10004),QUERY(F12:O12, ""select F, M, N, O""),)"),"Communotron 16")</f>
        <v>Communotron 16</v>
      </c>
      <c r="V12" s="115">
        <f>IFERROR(__xludf.DUMMYFUNCTION("""COMPUTED_VALUE"""),500000.0)</f>
        <v>500000</v>
      </c>
      <c r="W12" s="33">
        <f>IFERROR(__xludf.DUMMYFUNCTION("""COMPUTED_VALUE"""),0.9)</f>
        <v>0.9</v>
      </c>
      <c r="X12" s="33">
        <f>IFERROR(__xludf.DUMMYFUNCTION("""COMPUTED_VALUE"""),1.0)</f>
        <v>1</v>
      </c>
    </row>
    <row r="13">
      <c r="A13" s="112" t="s">
        <v>155</v>
      </c>
      <c r="B13" s="105" t="s">
        <v>141</v>
      </c>
      <c r="C13" s="105"/>
      <c r="D13" s="105" t="str">
        <f t="array" ref="D13">INDEX($A$6:$B156,MATCH(TRUE,EXACT(E13,$A$6:$A156),0),2)</f>
        <v>✔</v>
      </c>
      <c r="E13" s="105" t="s">
        <v>142</v>
      </c>
      <c r="F13" s="113" t="s">
        <v>156</v>
      </c>
      <c r="G13" s="113" t="s">
        <v>157</v>
      </c>
      <c r="H13" s="117">
        <v>300.0</v>
      </c>
      <c r="I13" s="118">
        <v>0.015</v>
      </c>
      <c r="J13" s="12">
        <v>2.0</v>
      </c>
      <c r="K13" s="12" t="s">
        <v>4</v>
      </c>
      <c r="L13" s="12" t="s">
        <v>151</v>
      </c>
      <c r="M13" s="109">
        <v>500000.0</v>
      </c>
      <c r="N13" s="110">
        <v>0.0</v>
      </c>
      <c r="O13" s="110">
        <v>0.0</v>
      </c>
      <c r="P13" s="110">
        <f t="shared" si="1"/>
        <v>20</v>
      </c>
      <c r="Q13" s="111">
        <v>0.6</v>
      </c>
      <c r="R13" s="12">
        <v>2.0</v>
      </c>
      <c r="S13" s="12">
        <v>12.0</v>
      </c>
      <c r="U13" t="str">
        <f>IFERROR(__xludf.DUMMYFUNCTION("IF(D13 = CHAR(10004),QUERY(F13:O13, ""select F, M, N, O""),)"),"Communotron 16S")</f>
        <v>Communotron 16S</v>
      </c>
      <c r="V13" s="115">
        <f>IFERROR(__xludf.DUMMYFUNCTION("""COMPUTED_VALUE"""),500000.0)</f>
        <v>500000</v>
      </c>
      <c r="W13" s="33">
        <f>IFERROR(__xludf.DUMMYFUNCTION("""COMPUTED_VALUE"""),0.0)</f>
        <v>0</v>
      </c>
      <c r="X13" s="33">
        <f>IFERROR(__xludf.DUMMYFUNCTION("""COMPUTED_VALUE"""),0.0)</f>
        <v>0</v>
      </c>
    </row>
    <row r="14">
      <c r="A14" s="112"/>
      <c r="B14" s="105"/>
      <c r="C14" s="105"/>
      <c r="D14" s="105" t="str">
        <f t="array" ref="D14">INDEX($A$6:$B156,MATCH(TRUE,EXACT(E14,$A$6:$A156),0),2)</f>
        <v>✔</v>
      </c>
      <c r="E14" s="105" t="s">
        <v>142</v>
      </c>
      <c r="F14" s="119" t="s">
        <v>158</v>
      </c>
      <c r="G14" s="120" t="s">
        <v>159</v>
      </c>
      <c r="H14" s="121">
        <v>600.0</v>
      </c>
      <c r="I14" s="122">
        <v>0.03</v>
      </c>
      <c r="J14" s="12">
        <v>6.0</v>
      </c>
      <c r="K14" s="12" t="s">
        <v>4</v>
      </c>
      <c r="L14" s="12" t="s">
        <v>154</v>
      </c>
      <c r="M14" s="109">
        <v>2.0E9</v>
      </c>
      <c r="N14" s="110">
        <v>0.0</v>
      </c>
      <c r="O14" s="110">
        <v>0.75</v>
      </c>
      <c r="P14" s="110">
        <f t="shared" si="1"/>
        <v>34.28571429</v>
      </c>
      <c r="Q14" s="123">
        <v>0.35</v>
      </c>
      <c r="R14" s="12">
        <v>2.0</v>
      </c>
      <c r="S14" s="12">
        <v>12.0</v>
      </c>
      <c r="U14" t="str">
        <f>IFERROR(__xludf.DUMMYFUNCTION("IF(D14 = CHAR(10004),QUERY(F14:O14, ""select F, M, N, O""),)"),"Communotron DTS-M1")</f>
        <v>Communotron DTS-M1</v>
      </c>
      <c r="V14" s="115">
        <f>IFERROR(__xludf.DUMMYFUNCTION("""COMPUTED_VALUE"""),2.0E9)</f>
        <v>2000000000</v>
      </c>
      <c r="W14" s="33">
        <f>IFERROR(__xludf.DUMMYFUNCTION("""COMPUTED_VALUE"""),0.0)</f>
        <v>0</v>
      </c>
      <c r="X14" s="33">
        <f>IFERROR(__xludf.DUMMYFUNCTION("""COMPUTED_VALUE"""),0.75)</f>
        <v>0.75</v>
      </c>
    </row>
    <row r="15">
      <c r="A15" s="112"/>
      <c r="B15" s="105"/>
      <c r="C15" s="105"/>
      <c r="D15" s="105" t="str">
        <f t="array" ref="D15">INDEX($A$6:$B156,MATCH(TRUE,EXACT(E15,$A$6:$A156),0),2)</f>
        <v>✔</v>
      </c>
      <c r="E15" s="105" t="s">
        <v>142</v>
      </c>
      <c r="F15" s="106" t="s">
        <v>36</v>
      </c>
      <c r="G15" s="106" t="s">
        <v>160</v>
      </c>
      <c r="H15" s="107">
        <v>1500.0</v>
      </c>
      <c r="I15" s="108">
        <v>0.035</v>
      </c>
      <c r="J15" s="12">
        <v>7.0</v>
      </c>
      <c r="K15" s="12" t="s">
        <v>4</v>
      </c>
      <c r="L15" s="12" t="s">
        <v>154</v>
      </c>
      <c r="M15" s="109">
        <v>1.5E10</v>
      </c>
      <c r="N15" s="110">
        <v>0.0</v>
      </c>
      <c r="O15" s="110">
        <v>0.75</v>
      </c>
      <c r="P15" s="110">
        <f t="shared" si="1"/>
        <v>133.3333333</v>
      </c>
      <c r="Q15" s="124">
        <v>0.15</v>
      </c>
      <c r="R15" s="12">
        <v>3.0</v>
      </c>
      <c r="S15" s="12">
        <v>20.0</v>
      </c>
      <c r="U15" t="str">
        <f>IFERROR(__xludf.DUMMYFUNCTION("IF(D15 = CHAR(10004),QUERY(F15:O15, ""select F, M, N, O""),)"),"Communotron HG-55")</f>
        <v>Communotron HG-55</v>
      </c>
      <c r="V15" s="115">
        <f>IFERROR(__xludf.DUMMYFUNCTION("""COMPUTED_VALUE"""),1.5E10)</f>
        <v>15000000000</v>
      </c>
      <c r="W15" s="33">
        <f>IFERROR(__xludf.DUMMYFUNCTION("""COMPUTED_VALUE"""),0.0)</f>
        <v>0</v>
      </c>
      <c r="X15" s="33">
        <f>IFERROR(__xludf.DUMMYFUNCTION("""COMPUTED_VALUE"""),0.75)</f>
        <v>0.75</v>
      </c>
    </row>
    <row r="16">
      <c r="A16" s="112"/>
      <c r="B16" s="105"/>
      <c r="C16" s="105"/>
      <c r="D16" s="105" t="str">
        <f t="array" ref="D16">INDEX($A$6:$B156,MATCH(TRUE,EXACT(E16,$A$6:$A156),0),2)</f>
        <v>✔</v>
      </c>
      <c r="E16" s="105" t="s">
        <v>142</v>
      </c>
      <c r="F16" s="7" t="s">
        <v>161</v>
      </c>
      <c r="G16" s="7" t="s">
        <v>162</v>
      </c>
      <c r="H16" s="7">
        <v>1100.0</v>
      </c>
      <c r="I16" s="7">
        <v>0.025</v>
      </c>
      <c r="J16" s="12">
        <v>8.0</v>
      </c>
      <c r="K16" s="12" t="s">
        <v>4</v>
      </c>
      <c r="L16" s="12" t="s">
        <v>154</v>
      </c>
      <c r="M16" s="109">
        <v>1.0E11</v>
      </c>
      <c r="N16" s="110">
        <v>0.9</v>
      </c>
      <c r="O16" s="110">
        <v>0.75</v>
      </c>
      <c r="P16" s="110">
        <f t="shared" si="1"/>
        <v>200</v>
      </c>
      <c r="Q16" s="12">
        <v>0.1</v>
      </c>
      <c r="R16" s="12">
        <v>2.0</v>
      </c>
      <c r="S16" s="12">
        <v>20.0</v>
      </c>
      <c r="U16" t="str">
        <f>IFERROR(__xludf.DUMMYFUNCTION("IF(D16 = CHAR(10004),QUERY(F16:O16, ""select F, M, N, O""),)"),"Communotron 88-88")</f>
        <v>Communotron 88-88</v>
      </c>
      <c r="V16" s="115">
        <f>IFERROR(__xludf.DUMMYFUNCTION("""COMPUTED_VALUE"""),1.0E11)</f>
        <v>100000000000</v>
      </c>
      <c r="W16" s="33">
        <f>IFERROR(__xludf.DUMMYFUNCTION("""COMPUTED_VALUE"""),0.9)</f>
        <v>0.9</v>
      </c>
      <c r="X16" s="33">
        <f>IFERROR(__xludf.DUMMYFUNCTION("""COMPUTED_VALUE"""),0.75)</f>
        <v>0.75</v>
      </c>
    </row>
    <row r="17">
      <c r="A17" s="112"/>
      <c r="B17" s="105"/>
      <c r="C17" s="105"/>
      <c r="D17" s="105" t="str">
        <f t="array" ref="D17">INDEX($A$6:$B156,MATCH(TRUE,EXACT(E17,$A$6:$A156),0),2)</f>
        <v>✔</v>
      </c>
      <c r="E17" s="105" t="s">
        <v>142</v>
      </c>
      <c r="F17" s="12" t="s">
        <v>163</v>
      </c>
      <c r="G17" s="12" t="s">
        <v>164</v>
      </c>
      <c r="H17" s="12">
        <v>600.0</v>
      </c>
      <c r="I17" s="12">
        <v>0.07</v>
      </c>
      <c r="J17" s="12">
        <v>4.0</v>
      </c>
      <c r="K17" s="12" t="s">
        <v>11</v>
      </c>
      <c r="L17" s="12" t="s">
        <v>154</v>
      </c>
      <c r="M17" s="109">
        <v>5000000.0</v>
      </c>
      <c r="N17" s="110">
        <v>0.0</v>
      </c>
      <c r="O17" s="110">
        <v>0.75</v>
      </c>
      <c r="P17" s="110">
        <f t="shared" si="1"/>
        <v>51.42857143</v>
      </c>
      <c r="Q17" s="12">
        <v>0.35</v>
      </c>
      <c r="R17" s="12">
        <v>2.0</v>
      </c>
      <c r="S17" s="12">
        <v>18.0</v>
      </c>
      <c r="U17" t="str">
        <f>IFERROR(__xludf.DUMMYFUNCTION("IF(D17 = CHAR(10004),QUERY(F17:O17, ""select F, M, N, O""),)"),"HG-5 High Gain Antenna")</f>
        <v>HG-5 High Gain Antenna</v>
      </c>
      <c r="V17" s="115">
        <f>IFERROR(__xludf.DUMMYFUNCTION("""COMPUTED_VALUE"""),5000000.0)</f>
        <v>5000000</v>
      </c>
      <c r="W17" s="33">
        <f>IFERROR(__xludf.DUMMYFUNCTION("""COMPUTED_VALUE"""),0.0)</f>
        <v>0</v>
      </c>
      <c r="X17" s="33">
        <f>IFERROR(__xludf.DUMMYFUNCTION("""COMPUTED_VALUE"""),0.75)</f>
        <v>0.75</v>
      </c>
    </row>
    <row r="18">
      <c r="A18" s="112"/>
      <c r="B18" s="105"/>
      <c r="C18" s="105"/>
      <c r="D18" s="105" t="str">
        <f t="array" ref="D18">INDEX($A$6:$B156,MATCH(TRUE,EXACT(E18,$A$6:$A156),0),2)</f>
        <v>✔</v>
      </c>
      <c r="E18" s="105" t="s">
        <v>142</v>
      </c>
      <c r="F18" s="12" t="s">
        <v>165</v>
      </c>
      <c r="G18" s="12" t="s">
        <v>166</v>
      </c>
      <c r="H18" s="12">
        <v>1800.0</v>
      </c>
      <c r="I18" s="12">
        <v>0.15</v>
      </c>
      <c r="J18" s="12">
        <v>6.0</v>
      </c>
      <c r="K18" s="12" t="s">
        <v>11</v>
      </c>
      <c r="L18" s="12" t="s">
        <v>151</v>
      </c>
      <c r="M18" s="109">
        <v>2.0E9</v>
      </c>
      <c r="N18" s="110">
        <v>0.9</v>
      </c>
      <c r="O18" s="110">
        <v>0.75</v>
      </c>
      <c r="P18" s="110">
        <f t="shared" si="1"/>
        <v>68.57142857</v>
      </c>
      <c r="Q18" s="12">
        <v>0.35</v>
      </c>
      <c r="R18" s="12">
        <v>1.0</v>
      </c>
      <c r="S18" s="12">
        <v>24.0</v>
      </c>
      <c r="U18" t="str">
        <f>IFERROR(__xludf.DUMMYFUNCTION("IF(D18 = CHAR(10004),QUERY(F18:O18, ""select F, M, N, O""),)"),"RA-2 Relay Antenna")</f>
        <v>RA-2 Relay Antenna</v>
      </c>
      <c r="V18" s="115">
        <f>IFERROR(__xludf.DUMMYFUNCTION("""COMPUTED_VALUE"""),2.0E9)</f>
        <v>2000000000</v>
      </c>
      <c r="W18" s="33">
        <f>IFERROR(__xludf.DUMMYFUNCTION("""COMPUTED_VALUE"""),0.9)</f>
        <v>0.9</v>
      </c>
      <c r="X18" s="33">
        <f>IFERROR(__xludf.DUMMYFUNCTION("""COMPUTED_VALUE"""),0.75)</f>
        <v>0.75</v>
      </c>
    </row>
    <row r="19">
      <c r="A19" s="112"/>
      <c r="B19" s="105"/>
      <c r="C19" s="105"/>
      <c r="D19" s="105" t="str">
        <f t="array" ref="D19">INDEX($A$6:$B156,MATCH(TRUE,EXACT(E19,$A$6:$A156),0),2)</f>
        <v>✔</v>
      </c>
      <c r="E19" s="105" t="s">
        <v>142</v>
      </c>
      <c r="F19" s="12" t="s">
        <v>40</v>
      </c>
      <c r="G19" s="12" t="s">
        <v>167</v>
      </c>
      <c r="H19" s="12">
        <v>2400.0</v>
      </c>
      <c r="I19" s="12">
        <v>0.3</v>
      </c>
      <c r="J19" s="12">
        <v>7.0</v>
      </c>
      <c r="K19" s="12" t="s">
        <v>11</v>
      </c>
      <c r="L19" s="12" t="s">
        <v>151</v>
      </c>
      <c r="M19" s="109">
        <v>1.5E10</v>
      </c>
      <c r="N19" s="110">
        <v>0.9</v>
      </c>
      <c r="O19" s="110">
        <v>0.75</v>
      </c>
      <c r="P19" s="110">
        <f t="shared" si="1"/>
        <v>68.57142857</v>
      </c>
      <c r="Q19" s="12">
        <v>0.35</v>
      </c>
      <c r="R19" s="12">
        <v>2.0</v>
      </c>
      <c r="S19" s="12">
        <v>24.0</v>
      </c>
      <c r="U19" t="str">
        <f>IFERROR(__xludf.DUMMYFUNCTION("IF(D19 = CHAR(10004),QUERY(F19:O19, ""select F, M, N, O""),)"),"RA-15 Relay Antenna")</f>
        <v>RA-15 Relay Antenna</v>
      </c>
      <c r="V19" s="115">
        <f>IFERROR(__xludf.DUMMYFUNCTION("""COMPUTED_VALUE"""),1.5E10)</f>
        <v>15000000000</v>
      </c>
      <c r="W19" s="33">
        <f>IFERROR(__xludf.DUMMYFUNCTION("""COMPUTED_VALUE"""),0.9)</f>
        <v>0.9</v>
      </c>
      <c r="X19" s="33">
        <f>IFERROR(__xludf.DUMMYFUNCTION("""COMPUTED_VALUE"""),0.75)</f>
        <v>0.75</v>
      </c>
    </row>
    <row r="20">
      <c r="A20" s="125"/>
      <c r="D20" s="105" t="str">
        <f t="array" ref="D20">INDEX($A$6:$B156,MATCH(TRUE,EXACT(E20,$A$6:$A156),0),2)</f>
        <v>✔</v>
      </c>
      <c r="E20" s="126" t="s">
        <v>142</v>
      </c>
      <c r="F20" s="127" t="s">
        <v>168</v>
      </c>
      <c r="G20" s="127" t="s">
        <v>169</v>
      </c>
      <c r="H20" s="127">
        <v>3000.0</v>
      </c>
      <c r="I20" s="127">
        <v>0.65</v>
      </c>
      <c r="J20" s="127">
        <v>8.0</v>
      </c>
      <c r="K20" s="127" t="s">
        <v>11</v>
      </c>
      <c r="L20" s="127" t="s">
        <v>151</v>
      </c>
      <c r="M20" s="109">
        <v>1.0E11</v>
      </c>
      <c r="N20" s="110">
        <v>0.9</v>
      </c>
      <c r="O20" s="110">
        <v>0.75</v>
      </c>
      <c r="P20" s="110">
        <f t="shared" si="1"/>
        <v>68.57142857</v>
      </c>
      <c r="Q20" s="127">
        <v>0.35</v>
      </c>
      <c r="R20" s="127">
        <v>4.0</v>
      </c>
      <c r="S20" s="127">
        <v>24.0</v>
      </c>
      <c r="U20" t="str">
        <f>IFERROR(__xludf.DUMMYFUNCTION("IF(D20 = CHAR(10004),QUERY(F20:O20, ""select F, M, N, O""),)"),"RA-100 Relay Antenna")</f>
        <v>RA-100 Relay Antenna</v>
      </c>
      <c r="V20" s="115">
        <f>IFERROR(__xludf.DUMMYFUNCTION("""COMPUTED_VALUE"""),1.0E11)</f>
        <v>100000000000</v>
      </c>
      <c r="W20" s="33">
        <f>IFERROR(__xludf.DUMMYFUNCTION("""COMPUTED_VALUE"""),0.9)</f>
        <v>0.9</v>
      </c>
      <c r="X20" s="33">
        <f>IFERROR(__xludf.DUMMYFUNCTION("""COMPUTED_VALUE"""),0.75)</f>
        <v>0.75</v>
      </c>
    </row>
    <row r="21">
      <c r="A21" s="125"/>
      <c r="D21" s="105" t="str">
        <f t="array" ref="D21">INDEX($A$6:$B156,MATCH(TRUE,EXACT(E21,$A$6:$A156),0),2)</f>
        <v/>
      </c>
      <c r="E21" s="128"/>
      <c r="F21" s="76"/>
      <c r="G21" s="76"/>
      <c r="H21" s="82"/>
      <c r="I21" s="82"/>
      <c r="J21" s="82"/>
      <c r="K21" s="76"/>
      <c r="L21" s="76"/>
      <c r="M21" s="84"/>
      <c r="N21" s="110"/>
      <c r="O21" s="90"/>
      <c r="P21" s="110"/>
      <c r="Q21" s="82"/>
      <c r="R21" s="82"/>
      <c r="S21" s="82"/>
      <c r="U21" t="str">
        <f>IFERROR(__xludf.DUMMYFUNCTION("IF(D21 = CHAR(10004),QUERY(F21:O21, ""select F, M, N, O""),)"),"")</f>
        <v/>
      </c>
    </row>
    <row r="22">
      <c r="A22" s="125"/>
      <c r="D22" s="105" t="str">
        <f t="array" ref="D22">INDEX($A$6:$B156,MATCH(TRUE,EXACT(E22,$A$6:$A156),0),2)</f>
        <v>✔</v>
      </c>
      <c r="E22" s="51" t="s">
        <v>170</v>
      </c>
      <c r="F22" s="12" t="s">
        <v>171</v>
      </c>
      <c r="G22" s="12" t="s">
        <v>172</v>
      </c>
      <c r="H22" s="12">
        <v>1000.0</v>
      </c>
      <c r="I22" s="12">
        <v>0.18</v>
      </c>
      <c r="J22" s="12">
        <v>5.0</v>
      </c>
      <c r="K22" s="12" t="s">
        <v>11</v>
      </c>
      <c r="L22" s="12" t="s">
        <v>154</v>
      </c>
      <c r="M22" s="109">
        <v>2.0E7</v>
      </c>
      <c r="N22" s="110">
        <v>0.0</v>
      </c>
      <c r="O22" s="12">
        <v>0.75</v>
      </c>
      <c r="P22" s="110">
        <f t="shared" ref="P22:P24" si="2">S22/Q22</f>
        <v>114.2857143</v>
      </c>
      <c r="Q22" s="12">
        <v>0.35</v>
      </c>
      <c r="R22" s="12">
        <v>2.0</v>
      </c>
      <c r="S22" s="12">
        <v>40.0</v>
      </c>
      <c r="U22" t="str">
        <f>IFERROR(__xludf.DUMMYFUNCTION("IF(D22 = CHAR(10004),QUERY(F22:O22, ""select F, M, N, O""),)"),"HG-20 High Gain Antenna - ReStock Plus")</f>
        <v>HG-20 High Gain Antenna - ReStock Plus</v>
      </c>
      <c r="V22" s="115">
        <f>IFERROR(__xludf.DUMMYFUNCTION("""COMPUTED_VALUE"""),2.0E7)</f>
        <v>20000000</v>
      </c>
      <c r="W22" s="33">
        <f>IFERROR(__xludf.DUMMYFUNCTION("""COMPUTED_VALUE"""),0.0)</f>
        <v>0</v>
      </c>
      <c r="X22">
        <f>IFERROR(__xludf.DUMMYFUNCTION("""COMPUTED_VALUE"""),0.75)</f>
        <v>0.75</v>
      </c>
    </row>
    <row r="23">
      <c r="A23" s="125"/>
      <c r="D23" s="105" t="str">
        <f t="array" ref="D23">INDEX($A$6:$B156,MATCH(TRUE,EXACT(E23,$A$6:$A156),0),2)</f>
        <v>✔</v>
      </c>
      <c r="E23" s="51" t="s">
        <v>170</v>
      </c>
      <c r="F23" s="12" t="s">
        <v>173</v>
      </c>
      <c r="G23" s="12" t="s">
        <v>174</v>
      </c>
      <c r="H23" s="12">
        <v>900.0</v>
      </c>
      <c r="I23" s="12">
        <v>0.055</v>
      </c>
      <c r="J23" s="12">
        <v>6.0</v>
      </c>
      <c r="K23" s="12" t="s">
        <v>4</v>
      </c>
      <c r="L23" s="12" t="s">
        <v>151</v>
      </c>
      <c r="M23" s="109">
        <v>2.0E9</v>
      </c>
      <c r="N23" s="110">
        <v>0.9</v>
      </c>
      <c r="O23" s="12">
        <v>0.75</v>
      </c>
      <c r="P23" s="110">
        <f t="shared" si="2"/>
        <v>28.57142857</v>
      </c>
      <c r="Q23" s="12">
        <v>0.35</v>
      </c>
      <c r="R23" s="12">
        <v>2.0</v>
      </c>
      <c r="S23" s="12">
        <v>10.0</v>
      </c>
      <c r="U23" t="str">
        <f>IFERROR(__xludf.DUMMYFUNCTION("IF(D23 = CHAR(10004),QUERY(F23:O23, ""select F, M, N, O""),)"),"Communotron DTS-J1")</f>
        <v>Communotron DTS-J1</v>
      </c>
      <c r="V23" s="115">
        <f>IFERROR(__xludf.DUMMYFUNCTION("""COMPUTED_VALUE"""),2.0E9)</f>
        <v>2000000000</v>
      </c>
      <c r="W23" s="33">
        <f>IFERROR(__xludf.DUMMYFUNCTION("""COMPUTED_VALUE"""),0.9)</f>
        <v>0.9</v>
      </c>
      <c r="X23">
        <f>IFERROR(__xludf.DUMMYFUNCTION("""COMPUTED_VALUE"""),0.75)</f>
        <v>0.75</v>
      </c>
    </row>
    <row r="24">
      <c r="A24" s="125"/>
      <c r="D24" s="105" t="str">
        <f t="array" ref="D24">INDEX($A$6:$B156,MATCH(TRUE,EXACT(E24,$A$6:$A156),0),2)</f>
        <v>✔</v>
      </c>
      <c r="E24" s="51" t="s">
        <v>170</v>
      </c>
      <c r="F24" s="12" t="s">
        <v>175</v>
      </c>
      <c r="G24" s="12" t="s">
        <v>176</v>
      </c>
      <c r="H24" s="12">
        <v>999.0</v>
      </c>
      <c r="I24" s="12">
        <v>0.06</v>
      </c>
      <c r="J24" s="12">
        <v>7.0</v>
      </c>
      <c r="K24" s="12" t="s">
        <v>4</v>
      </c>
      <c r="L24" s="12" t="s">
        <v>154</v>
      </c>
      <c r="M24" s="109">
        <v>1.5E10</v>
      </c>
      <c r="N24" s="110">
        <v>0.9</v>
      </c>
      <c r="O24" s="12">
        <v>0.75</v>
      </c>
      <c r="P24" s="110">
        <f t="shared" si="2"/>
        <v>133.3333333</v>
      </c>
      <c r="Q24" s="12">
        <v>0.15</v>
      </c>
      <c r="R24" s="12">
        <v>3.0</v>
      </c>
      <c r="S24" s="12">
        <v>20.0</v>
      </c>
      <c r="U24" t="str">
        <f>IFERROR(__xludf.DUMMYFUNCTION("IF(D24 = CHAR(10004),QUERY(F24:O24, ""select F, M, N, O""),)"),"Communotron HG-61")</f>
        <v>Communotron HG-61</v>
      </c>
      <c r="V24" s="115">
        <f>IFERROR(__xludf.DUMMYFUNCTION("""COMPUTED_VALUE"""),1.5E10)</f>
        <v>15000000000</v>
      </c>
      <c r="W24" s="33">
        <f>IFERROR(__xludf.DUMMYFUNCTION("""COMPUTED_VALUE"""),0.9)</f>
        <v>0.9</v>
      </c>
      <c r="X24">
        <f>IFERROR(__xludf.DUMMYFUNCTION("""COMPUTED_VALUE"""),0.75)</f>
        <v>0.75</v>
      </c>
    </row>
    <row r="25">
      <c r="A25" s="125"/>
      <c r="D25" s="105" t="str">
        <f t="array" ref="D25">INDEX($A$6:$B156,MATCH(TRUE,EXACT(E25,$A$6:$A156),0),2)</f>
        <v/>
      </c>
      <c r="E25" s="128"/>
      <c r="F25" s="76"/>
      <c r="G25" s="76"/>
      <c r="H25" s="82"/>
      <c r="I25" s="82"/>
      <c r="J25" s="82"/>
      <c r="K25" s="76"/>
      <c r="L25" s="76"/>
      <c r="M25" s="84"/>
      <c r="N25" s="110"/>
      <c r="O25" s="90"/>
      <c r="P25" s="110"/>
      <c r="Q25" s="82"/>
      <c r="R25" s="82"/>
      <c r="S25" s="82"/>
      <c r="U25" t="str">
        <f>IFERROR(__xludf.DUMMYFUNCTION("IF(D25 = CHAR(10004),QUERY(F25:O25, ""select F, M, N, O""),)"),"")</f>
        <v/>
      </c>
    </row>
    <row r="26">
      <c r="A26" s="125"/>
      <c r="D26" s="105" t="str">
        <f t="array" ref="D26">INDEX($A$6:$B156,MATCH(TRUE,EXACT(E26,$A$6:$A156),0),2)</f>
        <v>✖</v>
      </c>
      <c r="E26" s="129" t="s">
        <v>177</v>
      </c>
      <c r="F26" s="130" t="s">
        <v>178</v>
      </c>
      <c r="G26" s="130" t="s">
        <v>179</v>
      </c>
      <c r="H26" s="131">
        <v>400.0</v>
      </c>
      <c r="I26" s="131">
        <v>0.02</v>
      </c>
      <c r="J26" s="131">
        <v>4.0</v>
      </c>
      <c r="K26" s="130" t="s">
        <v>4</v>
      </c>
      <c r="L26" s="130" t="s">
        <v>154</v>
      </c>
      <c r="M26" s="132">
        <v>5000000.0</v>
      </c>
      <c r="N26" s="110">
        <v>0.0</v>
      </c>
      <c r="O26" s="133">
        <v>1.0</v>
      </c>
      <c r="P26" s="110">
        <f t="shared" ref="P26:P31" si="3">S26/Q26</f>
        <v>20</v>
      </c>
      <c r="Q26" s="131">
        <v>0.6</v>
      </c>
      <c r="R26" s="131">
        <v>2.0</v>
      </c>
      <c r="S26" s="131">
        <v>12.0</v>
      </c>
      <c r="U26" t="str">
        <f>IFERROR(__xludf.DUMMYFUNCTION("IF(D26 = CHAR(10004),QUERY(F26:O26, ""select F, M, N, O""),)"),"")</f>
        <v/>
      </c>
    </row>
    <row r="27">
      <c r="A27" s="125"/>
      <c r="D27" s="105" t="str">
        <f t="array" ref="D27">INDEX($A$6:$B156,MATCH(TRUE,EXACT(E27,$A$6:$A156),0),2)</f>
        <v>✖</v>
      </c>
      <c r="E27" s="129" t="s">
        <v>177</v>
      </c>
      <c r="F27" s="130" t="s">
        <v>180</v>
      </c>
      <c r="G27" s="130" t="s">
        <v>181</v>
      </c>
      <c r="H27" s="131">
        <v>1200.0</v>
      </c>
      <c r="I27" s="131">
        <v>0.11</v>
      </c>
      <c r="J27" s="131">
        <v>5.0</v>
      </c>
      <c r="K27" s="130" t="s">
        <v>11</v>
      </c>
      <c r="L27" s="130" t="s">
        <v>154</v>
      </c>
      <c r="M27" s="132">
        <v>3.2E7</v>
      </c>
      <c r="N27" s="110">
        <v>0.0</v>
      </c>
      <c r="O27" s="133">
        <v>0.75</v>
      </c>
      <c r="P27" s="110">
        <f t="shared" si="3"/>
        <v>51.42857143</v>
      </c>
      <c r="Q27" s="131">
        <v>0.35</v>
      </c>
      <c r="R27" s="131">
        <v>2.0</v>
      </c>
      <c r="S27" s="131">
        <v>18.0</v>
      </c>
      <c r="U27" t="str">
        <f>IFERROR(__xludf.DUMMYFUNCTION("IF(D27 = CHAR(10004),QUERY(F27:O27, ""select F, M, N, O""),)"),"")</f>
        <v/>
      </c>
    </row>
    <row r="28">
      <c r="A28" s="125"/>
      <c r="D28" s="105" t="str">
        <f t="array" ref="D28">INDEX($A$6:$B156,MATCH(TRUE,EXACT(E28,$A$6:$A156),0),2)</f>
        <v>✖</v>
      </c>
      <c r="E28" s="129" t="s">
        <v>177</v>
      </c>
      <c r="F28" s="130" t="s">
        <v>182</v>
      </c>
      <c r="G28" s="130" t="s">
        <v>183</v>
      </c>
      <c r="H28" s="131">
        <v>2000.0</v>
      </c>
      <c r="I28" s="131">
        <v>0.21</v>
      </c>
      <c r="J28" s="131">
        <v>7.0</v>
      </c>
      <c r="K28" s="130" t="s">
        <v>11</v>
      </c>
      <c r="L28" s="130" t="s">
        <v>151</v>
      </c>
      <c r="M28" s="132">
        <v>7.0E9</v>
      </c>
      <c r="N28" s="110">
        <v>0.0</v>
      </c>
      <c r="O28" s="133">
        <v>0.75</v>
      </c>
      <c r="P28" s="110">
        <f t="shared" si="3"/>
        <v>68.57142857</v>
      </c>
      <c r="Q28" s="131">
        <v>0.35</v>
      </c>
      <c r="R28" s="131">
        <v>1.5</v>
      </c>
      <c r="S28" s="131">
        <v>24.0</v>
      </c>
      <c r="U28" t="str">
        <f>IFERROR(__xludf.DUMMYFUNCTION("IF(D28 = CHAR(10004),QUERY(F28:O28, ""select F, M, N, O""),)"),"")</f>
        <v/>
      </c>
    </row>
    <row r="29">
      <c r="A29" s="125"/>
      <c r="D29" s="105" t="str">
        <f t="array" ref="D29">INDEX($A$6:$B156,MATCH(TRUE,EXACT(E29,$A$6:$A156),0),2)</f>
        <v>✖</v>
      </c>
      <c r="E29" s="129" t="s">
        <v>177</v>
      </c>
      <c r="F29" s="130" t="s">
        <v>184</v>
      </c>
      <c r="G29" s="130" t="s">
        <v>185</v>
      </c>
      <c r="H29" s="131">
        <v>2600.0</v>
      </c>
      <c r="I29" s="131">
        <v>0.4</v>
      </c>
      <c r="J29" s="131">
        <v>8.0</v>
      </c>
      <c r="K29" s="130" t="s">
        <v>11</v>
      </c>
      <c r="L29" s="130" t="s">
        <v>151</v>
      </c>
      <c r="M29" s="132">
        <v>2.5E10</v>
      </c>
      <c r="N29" s="110">
        <v>0.0</v>
      </c>
      <c r="O29" s="133">
        <v>0.75</v>
      </c>
      <c r="P29" s="110">
        <f t="shared" si="3"/>
        <v>68.57142857</v>
      </c>
      <c r="Q29" s="131">
        <v>0.35</v>
      </c>
      <c r="R29" s="131">
        <v>2.5</v>
      </c>
      <c r="S29" s="131">
        <v>24.0</v>
      </c>
      <c r="U29" t="str">
        <f>IFERROR(__xludf.DUMMYFUNCTION("IF(D29 = CHAR(10004),QUERY(F29:O29, ""select F, M, N, O""),)"),"")</f>
        <v/>
      </c>
    </row>
    <row r="30">
      <c r="A30" s="125"/>
      <c r="D30" s="105" t="str">
        <f t="array" ref="D30">INDEX($A$6:$B156,MATCH(TRUE,EXACT(E30,$A$6:$A156),0),2)</f>
        <v>✖</v>
      </c>
      <c r="E30" s="129" t="s">
        <v>177</v>
      </c>
      <c r="F30" s="130" t="s">
        <v>186</v>
      </c>
      <c r="G30" s="130" t="s">
        <v>187</v>
      </c>
      <c r="H30" s="131">
        <v>2000.0</v>
      </c>
      <c r="I30" s="131">
        <v>0.5</v>
      </c>
      <c r="J30" s="131">
        <v>9.0</v>
      </c>
      <c r="K30" s="130" t="s">
        <v>4</v>
      </c>
      <c r="L30" s="130" t="s">
        <v>154</v>
      </c>
      <c r="M30" s="132">
        <v>5.0E11</v>
      </c>
      <c r="N30" s="110">
        <v>0.0</v>
      </c>
      <c r="O30" s="133">
        <v>1.0</v>
      </c>
      <c r="P30" s="110">
        <f t="shared" si="3"/>
        <v>200</v>
      </c>
      <c r="Q30" s="131">
        <v>0.1</v>
      </c>
      <c r="R30" s="131">
        <v>2.5</v>
      </c>
      <c r="S30" s="131">
        <v>20.0</v>
      </c>
      <c r="U30" t="str">
        <f>IFERROR(__xludf.DUMMYFUNCTION("IF(D30 = CHAR(10004),QUERY(F30:O30, ""select F, M, N, O""),)"),"")</f>
        <v/>
      </c>
    </row>
    <row r="31">
      <c r="A31" s="125"/>
      <c r="D31" s="105" t="str">
        <f t="array" ref="D31">INDEX($A$6:$B156,MATCH(TRUE,EXACT(E31,$A$6:$A156),0),2)</f>
        <v>✖</v>
      </c>
      <c r="E31" s="129" t="s">
        <v>177</v>
      </c>
      <c r="F31" s="130" t="s">
        <v>188</v>
      </c>
      <c r="G31" s="130" t="s">
        <v>189</v>
      </c>
      <c r="H31" s="131">
        <v>4000.0</v>
      </c>
      <c r="I31" s="131">
        <v>1.5</v>
      </c>
      <c r="J31" s="131">
        <v>9.0</v>
      </c>
      <c r="K31" s="130" t="s">
        <v>11</v>
      </c>
      <c r="L31" s="130" t="s">
        <v>151</v>
      </c>
      <c r="M31" s="132">
        <v>5.0E11</v>
      </c>
      <c r="N31" s="110">
        <v>0.0</v>
      </c>
      <c r="O31" s="133">
        <v>1.0</v>
      </c>
      <c r="P31" s="110">
        <f t="shared" si="3"/>
        <v>68.57142857</v>
      </c>
      <c r="Q31" s="131">
        <v>0.35</v>
      </c>
      <c r="R31" s="131">
        <v>5.0</v>
      </c>
      <c r="S31" s="131">
        <v>24.0</v>
      </c>
      <c r="U31" t="str">
        <f>IFERROR(__xludf.DUMMYFUNCTION("IF(D31 = CHAR(10004),QUERY(F31:O31, ""select F, M, N, O""),)"),"")</f>
        <v/>
      </c>
    </row>
    <row r="32">
      <c r="A32" s="125"/>
      <c r="D32" s="105" t="str">
        <f t="array" ref="D32">INDEX($A$6:$B156,MATCH(TRUE,EXACT(E32,$A$6:$A156),0),2)</f>
        <v/>
      </c>
      <c r="E32" s="128"/>
      <c r="F32" s="76"/>
      <c r="G32" s="76"/>
      <c r="H32" s="82"/>
      <c r="I32" s="82"/>
      <c r="J32" s="82"/>
      <c r="K32" s="76"/>
      <c r="L32" s="76"/>
      <c r="M32" s="84"/>
      <c r="N32" s="110"/>
      <c r="O32" s="90"/>
      <c r="P32" s="110"/>
      <c r="Q32" s="82"/>
      <c r="R32" s="82"/>
      <c r="S32" s="82"/>
      <c r="U32" t="str">
        <f>IFERROR(__xludf.DUMMYFUNCTION("IF(D32 = CHAR(10004),QUERY(F32:O32, ""select F, M, N, O""),)"),"")</f>
        <v/>
      </c>
    </row>
    <row r="33">
      <c r="A33" s="125"/>
      <c r="D33" s="105" t="str">
        <f t="array" ref="D33">INDEX($A$6:$B156,MATCH(TRUE,EXACT(E33,$A$6:$A156),0),2)</f>
        <v>✖</v>
      </c>
      <c r="E33" s="128" t="s">
        <v>190</v>
      </c>
      <c r="F33" s="76" t="s">
        <v>191</v>
      </c>
      <c r="G33" s="76" t="s">
        <v>192</v>
      </c>
      <c r="H33" s="82">
        <v>7000.0</v>
      </c>
      <c r="I33" s="82">
        <v>1.0</v>
      </c>
      <c r="J33" s="82">
        <v>5.0</v>
      </c>
      <c r="K33" s="76" t="s">
        <v>4</v>
      </c>
      <c r="L33" s="76" t="s">
        <v>154</v>
      </c>
      <c r="M33" s="84">
        <v>1.0E10</v>
      </c>
      <c r="N33" s="110">
        <v>0.0</v>
      </c>
      <c r="O33" s="90">
        <v>0.0</v>
      </c>
      <c r="P33" s="110">
        <f t="shared" ref="P33:P34" si="4">S33/Q33</f>
        <v>200</v>
      </c>
      <c r="Q33" s="82">
        <v>0.1</v>
      </c>
      <c r="R33" s="82">
        <v>2.0</v>
      </c>
      <c r="S33" s="82">
        <v>20.0</v>
      </c>
      <c r="U33" t="str">
        <f>IFERROR(__xludf.DUMMYFUNCTION("IF(D33 = CHAR(10004),QUERY(F33:O33, ""select F, M, N, O""),)"),"")</f>
        <v/>
      </c>
    </row>
    <row r="34">
      <c r="A34" s="125"/>
      <c r="D34" s="105" t="str">
        <f t="array" ref="D34">INDEX($A$6:$B156,MATCH(TRUE,EXACT(E34,$A$6:$A156),0),2)</f>
        <v>✖</v>
      </c>
      <c r="E34" s="128" t="s">
        <v>190</v>
      </c>
      <c r="F34" s="76" t="s">
        <v>193</v>
      </c>
      <c r="G34" s="76" t="s">
        <v>194</v>
      </c>
      <c r="H34" s="76">
        <v>14000.0</v>
      </c>
      <c r="I34" s="76">
        <v>4.0</v>
      </c>
      <c r="J34" s="82" t="s">
        <v>195</v>
      </c>
      <c r="K34" s="76" t="s">
        <v>4</v>
      </c>
      <c r="L34" s="76" t="s">
        <v>154</v>
      </c>
      <c r="M34" s="134">
        <v>1.0E12</v>
      </c>
      <c r="N34" s="110">
        <v>0.0</v>
      </c>
      <c r="O34" s="89">
        <v>0.0</v>
      </c>
      <c r="P34" s="110">
        <f t="shared" si="4"/>
        <v>687.5</v>
      </c>
      <c r="Q34" s="76">
        <v>0.08</v>
      </c>
      <c r="R34" s="76">
        <v>4.0</v>
      </c>
      <c r="S34" s="76">
        <v>55.0</v>
      </c>
      <c r="U34" t="str">
        <f>IFERROR(__xludf.DUMMYFUNCTION("IF(D34 = CHAR(10004),QUERY(F34:O34, ""select F, M, N, O""),)"),"")</f>
        <v/>
      </c>
    </row>
    <row r="35">
      <c r="A35" s="125"/>
      <c r="D35" s="105" t="str">
        <f t="array" ref="D35">INDEX($A$6:$B156,MATCH(TRUE,EXACT(E35,$A$6:$A156),0),2)</f>
        <v/>
      </c>
      <c r="E35" s="99"/>
      <c r="F35" s="12"/>
      <c r="M35" s="115"/>
      <c r="N35" s="110"/>
      <c r="O35" s="33"/>
      <c r="P35" s="110"/>
      <c r="U35" t="str">
        <f>IFERROR(__xludf.DUMMYFUNCTION("IF(D35 = CHAR(10004),QUERY(F35:O35, ""select F, M, N, O""),)"),"")</f>
        <v/>
      </c>
    </row>
    <row r="36">
      <c r="A36" s="125"/>
      <c r="D36" s="105" t="str">
        <f t="array" ref="D36">INDEX($A$6:$B156,MATCH(TRUE,EXACT(E36,$A$6:$A156),0),2)</f>
        <v>✖</v>
      </c>
      <c r="E36" s="99" t="s">
        <v>196</v>
      </c>
      <c r="F36" s="12" t="s">
        <v>197</v>
      </c>
      <c r="G36" t="s">
        <v>198</v>
      </c>
      <c r="H36">
        <v>1500.0</v>
      </c>
      <c r="I36">
        <v>0.01</v>
      </c>
      <c r="J36">
        <v>7.0</v>
      </c>
      <c r="K36" t="s">
        <v>11</v>
      </c>
      <c r="L36" t="s">
        <v>154</v>
      </c>
      <c r="M36" s="115">
        <v>2.0E7</v>
      </c>
      <c r="N36" s="110">
        <v>0.0</v>
      </c>
      <c r="O36" s="33">
        <v>0.75</v>
      </c>
      <c r="P36" s="110">
        <f>S36/Q36</f>
        <v>200</v>
      </c>
      <c r="Q36">
        <v>0.05</v>
      </c>
      <c r="R36">
        <v>1.0</v>
      </c>
      <c r="S36">
        <v>10.0</v>
      </c>
      <c r="U36" t="str">
        <f>IFERROR(__xludf.DUMMYFUNCTION("IF(D36 = CHAR(10004),QUERY(F36:O36, ""select F, M, N, O""),)"),"")</f>
        <v/>
      </c>
    </row>
    <row r="37">
      <c r="A37" s="125"/>
      <c r="D37" s="105" t="str">
        <f t="array" ref="D37">INDEX($A$6:$B156,MATCH(TRUE,EXACT(E37,$A$6:$A156),0),2)</f>
        <v/>
      </c>
      <c r="E37" s="135"/>
      <c r="F37" s="7"/>
      <c r="G37" s="7"/>
      <c r="H37" s="7"/>
      <c r="I37" s="7"/>
      <c r="J37" s="7"/>
      <c r="K37" s="7"/>
      <c r="L37" s="7"/>
      <c r="M37" s="115"/>
      <c r="N37" s="110"/>
      <c r="O37" s="33"/>
      <c r="P37" s="110"/>
      <c r="Q37" s="7"/>
      <c r="R37" s="7"/>
      <c r="S37" s="7"/>
      <c r="U37" t="str">
        <f>IFERROR(__xludf.DUMMYFUNCTION("IF(D37 = CHAR(10004),QUERY(F37:O37, ""select F, M, N, O""),)"),"")</f>
        <v/>
      </c>
    </row>
    <row r="38">
      <c r="A38" s="125"/>
      <c r="D38" s="105" t="str">
        <f t="array" ref="D38">INDEX($A$6:$B156,MATCH(TRUE,EXACT(E38,$A$6:$A156),0),2)</f>
        <v>✖</v>
      </c>
      <c r="E38" s="126" t="s">
        <v>199</v>
      </c>
      <c r="F38" s="12" t="s">
        <v>200</v>
      </c>
      <c r="G38" s="12" t="s">
        <v>201</v>
      </c>
      <c r="H38" s="12">
        <v>18000.0</v>
      </c>
      <c r="I38" s="12">
        <v>1.2</v>
      </c>
      <c r="J38" s="12">
        <v>9.0</v>
      </c>
      <c r="K38" s="12" t="s">
        <v>11</v>
      </c>
      <c r="L38" s="12" t="s">
        <v>154</v>
      </c>
      <c r="M38" s="109">
        <v>3.0E11</v>
      </c>
      <c r="N38" s="110">
        <v>0.0</v>
      </c>
      <c r="O38" s="110">
        <v>0.75</v>
      </c>
      <c r="P38" s="110">
        <f t="shared" ref="P38:P40" si="5">S38/Q38</f>
        <v>62.85714286</v>
      </c>
      <c r="Q38" s="12">
        <v>0.35</v>
      </c>
      <c r="R38" s="12">
        <v>4.0</v>
      </c>
      <c r="S38" s="12">
        <v>22.0</v>
      </c>
      <c r="U38" t="str">
        <f>IFERROR(__xludf.DUMMYFUNCTION("IF(D38 = CHAR(10004),QUERY(F38:O38, ""select F, M, N, O""),)"),"")</f>
        <v/>
      </c>
    </row>
    <row r="39">
      <c r="A39" s="125"/>
      <c r="D39" s="105" t="str">
        <f t="array" ref="D39">INDEX($A$6:$B156,MATCH(TRUE,EXACT(E39,$A$6:$A156),0),2)</f>
        <v>✖</v>
      </c>
      <c r="E39" s="126" t="s">
        <v>199</v>
      </c>
      <c r="F39" s="12" t="s">
        <v>202</v>
      </c>
      <c r="G39" s="12" t="s">
        <v>203</v>
      </c>
      <c r="H39" s="12">
        <v>9000.0</v>
      </c>
      <c r="I39" s="12">
        <v>0.35</v>
      </c>
      <c r="J39" s="12">
        <v>9.0</v>
      </c>
      <c r="K39" s="12" t="s">
        <v>4</v>
      </c>
      <c r="L39" s="12" t="s">
        <v>154</v>
      </c>
      <c r="M39" s="109">
        <v>3.0E11</v>
      </c>
      <c r="N39" s="110">
        <v>0.0</v>
      </c>
      <c r="O39" s="110">
        <v>0.75</v>
      </c>
      <c r="P39" s="110">
        <f t="shared" si="5"/>
        <v>51.42857143</v>
      </c>
      <c r="Q39" s="12">
        <v>0.35</v>
      </c>
      <c r="R39" s="12">
        <v>4.0</v>
      </c>
      <c r="S39" s="12">
        <v>18.0</v>
      </c>
      <c r="U39" t="str">
        <f>IFERROR(__xludf.DUMMYFUNCTION("IF(D39 = CHAR(10004),QUERY(F39:O39, ""select F, M, N, O""),)"),"")</f>
        <v/>
      </c>
    </row>
    <row r="40">
      <c r="A40" s="125"/>
      <c r="D40" s="105" t="str">
        <f t="array" ref="D40">INDEX($A$6:$B156,MATCH(TRUE,EXACT(E40,$A$6:$A156),0),2)</f>
        <v>✖</v>
      </c>
      <c r="E40" s="126" t="s">
        <v>199</v>
      </c>
      <c r="F40" s="127" t="s">
        <v>204</v>
      </c>
      <c r="G40" s="127" t="s">
        <v>205</v>
      </c>
      <c r="H40" s="127">
        <v>30000.0</v>
      </c>
      <c r="I40" s="127">
        <v>3.5</v>
      </c>
      <c r="J40" s="127">
        <v>9.0</v>
      </c>
      <c r="K40" s="127" t="s">
        <v>11</v>
      </c>
      <c r="L40" s="127" t="s">
        <v>154</v>
      </c>
      <c r="M40" s="109">
        <v>1.0E12</v>
      </c>
      <c r="N40" s="110">
        <v>0.0</v>
      </c>
      <c r="O40" s="110">
        <v>0.75</v>
      </c>
      <c r="P40" s="110">
        <f t="shared" si="5"/>
        <v>62.85714286</v>
      </c>
      <c r="Q40" s="127">
        <v>0.35</v>
      </c>
      <c r="R40" s="127">
        <v>4.0</v>
      </c>
      <c r="S40" s="127">
        <v>22.0</v>
      </c>
      <c r="U40" t="str">
        <f>IFERROR(__xludf.DUMMYFUNCTION("IF(D40 = CHAR(10004),QUERY(F40:O40, ""select F, M, N, O""),)"),"")</f>
        <v/>
      </c>
    </row>
    <row r="41">
      <c r="A41" s="125"/>
      <c r="D41" s="105" t="str">
        <f t="array" ref="D41">INDEX($A$6:$B156,MATCH(TRUE,EXACT(E41,$A$6:$A156),0),2)</f>
        <v/>
      </c>
      <c r="E41" s="99"/>
      <c r="M41" s="115"/>
      <c r="N41" s="110"/>
      <c r="O41" s="33"/>
      <c r="P41" s="110"/>
      <c r="U41" t="str">
        <f>IFERROR(__xludf.DUMMYFUNCTION("IF(D41 = CHAR(10004),QUERY(F41:O41, ""select F, M, N, O""),)"),"")</f>
        <v/>
      </c>
    </row>
    <row r="42">
      <c r="A42" s="125"/>
      <c r="D42" s="105" t="str">
        <f t="array" ref="D42">INDEX($A$6:$B156,MATCH(TRUE,EXACT(E42,$A$6:$A156),0),2)</f>
        <v>✖</v>
      </c>
      <c r="E42" s="51" t="s">
        <v>206</v>
      </c>
      <c r="F42" s="12" t="s">
        <v>207</v>
      </c>
      <c r="G42" s="12" t="s">
        <v>208</v>
      </c>
      <c r="H42" s="12">
        <v>300.0</v>
      </c>
      <c r="I42" s="12">
        <v>0.009</v>
      </c>
      <c r="J42" s="12">
        <v>4.0</v>
      </c>
      <c r="K42" s="12" t="s">
        <v>4</v>
      </c>
      <c r="L42" s="12" t="s">
        <v>151</v>
      </c>
      <c r="M42" s="109">
        <v>400000.0</v>
      </c>
      <c r="N42" s="110">
        <v>0.0</v>
      </c>
      <c r="O42" s="110">
        <v>1.0</v>
      </c>
      <c r="P42" s="110">
        <f t="shared" ref="P42:P55" si="6">S42/Q42</f>
        <v>20</v>
      </c>
      <c r="Q42" s="12">
        <v>0.6</v>
      </c>
      <c r="R42" s="12">
        <v>2.0</v>
      </c>
      <c r="S42" s="12">
        <v>12.0</v>
      </c>
      <c r="U42" t="str">
        <f>IFERROR(__xludf.DUMMYFUNCTION("IF(D42 = CHAR(10004),QUERY(F42:O42, ""select F, M, N, O""),)"),"")</f>
        <v/>
      </c>
    </row>
    <row r="43">
      <c r="A43" s="125"/>
      <c r="D43" s="105" t="str">
        <f t="array" ref="D43">INDEX($A$6:$B156,MATCH(TRUE,EXACT(E43,$A$6:$A156),0),2)</f>
        <v>✖</v>
      </c>
      <c r="E43" s="51" t="s">
        <v>206</v>
      </c>
      <c r="F43" s="12" t="s">
        <v>209</v>
      </c>
      <c r="G43" s="12" t="s">
        <v>210</v>
      </c>
      <c r="H43" s="12">
        <v>280.0</v>
      </c>
      <c r="I43" s="12">
        <v>0.005</v>
      </c>
      <c r="J43" s="12">
        <v>2.0</v>
      </c>
      <c r="K43" s="12" t="s">
        <v>4</v>
      </c>
      <c r="L43" s="12" t="s">
        <v>154</v>
      </c>
      <c r="M43" s="109">
        <v>500000.0</v>
      </c>
      <c r="N43" s="110">
        <v>0.0</v>
      </c>
      <c r="O43" s="110">
        <v>1.0</v>
      </c>
      <c r="P43" s="110">
        <f t="shared" si="6"/>
        <v>20</v>
      </c>
      <c r="Q43" s="12">
        <v>0.6</v>
      </c>
      <c r="R43" s="12">
        <v>2.0</v>
      </c>
      <c r="S43" s="12">
        <v>12.0</v>
      </c>
      <c r="U43" t="str">
        <f>IFERROR(__xludf.DUMMYFUNCTION("IF(D43 = CHAR(10004),QUERY(F43:O43, ""select F, M, N, O""),)"),"")</f>
        <v/>
      </c>
    </row>
    <row r="44">
      <c r="A44" s="125"/>
      <c r="D44" s="105" t="str">
        <f t="array" ref="D44">INDEX($A$6:$B156,MATCH(TRUE,EXACT(E44,$A$6:$A156),0),2)</f>
        <v>✖</v>
      </c>
      <c r="E44" s="51" t="s">
        <v>206</v>
      </c>
      <c r="F44" s="12" t="s">
        <v>211</v>
      </c>
      <c r="G44" s="12" t="s">
        <v>212</v>
      </c>
      <c r="H44" s="12">
        <v>100.0</v>
      </c>
      <c r="I44" s="12">
        <v>0.005</v>
      </c>
      <c r="J44" s="12">
        <v>4.0</v>
      </c>
      <c r="K44" s="12" t="s">
        <v>4</v>
      </c>
      <c r="L44" s="12" t="s">
        <v>151</v>
      </c>
      <c r="M44" s="109">
        <v>500000.0</v>
      </c>
      <c r="N44" s="110">
        <v>0.0</v>
      </c>
      <c r="O44" s="110">
        <v>0.0</v>
      </c>
      <c r="P44" s="110">
        <f t="shared" si="6"/>
        <v>20</v>
      </c>
      <c r="Q44" s="12">
        <v>0.6</v>
      </c>
      <c r="R44" s="12">
        <v>2.0</v>
      </c>
      <c r="S44" s="12">
        <v>12.0</v>
      </c>
      <c r="U44" t="str">
        <f>IFERROR(__xludf.DUMMYFUNCTION("IF(D44 = CHAR(10004),QUERY(F44:O44, ""select F, M, N, O""),)"),"")</f>
        <v/>
      </c>
    </row>
    <row r="45">
      <c r="A45" s="125"/>
      <c r="D45" s="105" t="str">
        <f t="array" ref="D45">INDEX($A$6:$B156,MATCH(TRUE,EXACT(E45,$A$6:$A156),0),2)</f>
        <v>✖</v>
      </c>
      <c r="E45" s="51" t="s">
        <v>206</v>
      </c>
      <c r="F45" s="12" t="s">
        <v>213</v>
      </c>
      <c r="G45" s="12" t="s">
        <v>214</v>
      </c>
      <c r="H45" s="12">
        <v>150.0</v>
      </c>
      <c r="I45" s="12">
        <v>0.007</v>
      </c>
      <c r="J45" s="12">
        <v>2.0</v>
      </c>
      <c r="K45" s="12" t="s">
        <v>4</v>
      </c>
      <c r="L45" s="12" t="s">
        <v>154</v>
      </c>
      <c r="M45" s="109">
        <v>505000.0</v>
      </c>
      <c r="N45" s="110">
        <v>0.0</v>
      </c>
      <c r="O45" s="110">
        <v>1.0</v>
      </c>
      <c r="P45" s="110">
        <f t="shared" si="6"/>
        <v>20</v>
      </c>
      <c r="Q45" s="12">
        <v>0.6</v>
      </c>
      <c r="R45" s="12">
        <v>2.0</v>
      </c>
      <c r="S45" s="12">
        <v>12.0</v>
      </c>
      <c r="U45" t="str">
        <f>IFERROR(__xludf.DUMMYFUNCTION("IF(D45 = CHAR(10004),QUERY(F45:O45, ""select F, M, N, O""),)"),"")</f>
        <v/>
      </c>
    </row>
    <row r="46">
      <c r="A46" s="125"/>
      <c r="D46" s="105" t="str">
        <f t="array" ref="D46">INDEX($A$6:$B156,MATCH(TRUE,EXACT(E46,$A$6:$A156),0),2)</f>
        <v>✖</v>
      </c>
      <c r="E46" s="51" t="s">
        <v>206</v>
      </c>
      <c r="F46" s="12" t="s">
        <v>215</v>
      </c>
      <c r="G46" s="12" t="s">
        <v>216</v>
      </c>
      <c r="H46" s="12">
        <v>320.0</v>
      </c>
      <c r="I46" s="12">
        <v>0.005</v>
      </c>
      <c r="J46" s="12">
        <v>2.0</v>
      </c>
      <c r="K46" s="12" t="s">
        <v>4</v>
      </c>
      <c r="L46" s="12" t="s">
        <v>151</v>
      </c>
      <c r="M46" s="109">
        <v>550000.0</v>
      </c>
      <c r="N46" s="110">
        <v>0.0</v>
      </c>
      <c r="O46" s="110">
        <v>0.0</v>
      </c>
      <c r="P46" s="110">
        <f t="shared" si="6"/>
        <v>20</v>
      </c>
      <c r="Q46" s="12">
        <v>0.6</v>
      </c>
      <c r="R46" s="12">
        <v>2.2</v>
      </c>
      <c r="S46" s="12">
        <v>12.0</v>
      </c>
      <c r="U46" t="str">
        <f>IFERROR(__xludf.DUMMYFUNCTION("IF(D46 = CHAR(10004),QUERY(F46:O46, ""select F, M, N, O""),)"),"")</f>
        <v/>
      </c>
    </row>
    <row r="47">
      <c r="A47" s="125"/>
      <c r="D47" s="105" t="str">
        <f t="array" ref="D47">INDEX($A$6:$B156,MATCH(TRUE,EXACT(E47,$A$6:$A156),0),2)</f>
        <v>✖</v>
      </c>
      <c r="E47" s="51" t="s">
        <v>206</v>
      </c>
      <c r="F47" s="12" t="s">
        <v>217</v>
      </c>
      <c r="G47" s="12" t="s">
        <v>218</v>
      </c>
      <c r="H47" s="12">
        <v>500.0</v>
      </c>
      <c r="I47" s="12">
        <v>0.035</v>
      </c>
      <c r="J47" s="12">
        <v>2.0</v>
      </c>
      <c r="K47" s="12" t="s">
        <v>4</v>
      </c>
      <c r="L47" s="12" t="s">
        <v>154</v>
      </c>
      <c r="M47" s="109">
        <v>1000000.0</v>
      </c>
      <c r="N47" s="110">
        <v>0.0</v>
      </c>
      <c r="O47" s="110">
        <v>0.75</v>
      </c>
      <c r="P47" s="110">
        <f t="shared" si="6"/>
        <v>34.28571429</v>
      </c>
      <c r="Q47" s="12">
        <v>0.35</v>
      </c>
      <c r="R47" s="12">
        <v>2.0</v>
      </c>
      <c r="S47" s="12">
        <v>12.0</v>
      </c>
      <c r="U47" t="str">
        <f>IFERROR(__xludf.DUMMYFUNCTION("IF(D47 = CHAR(10004),QUERY(F47:O47, ""select F, M, N, O""),)"),"")</f>
        <v/>
      </c>
    </row>
    <row r="48">
      <c r="A48" s="125"/>
      <c r="D48" s="105" t="str">
        <f t="array" ref="D48">INDEX($A$6:$B156,MATCH(TRUE,EXACT(E48,$A$6:$A156),0),2)</f>
        <v>✖</v>
      </c>
      <c r="E48" s="51" t="s">
        <v>206</v>
      </c>
      <c r="F48" s="12" t="s">
        <v>219</v>
      </c>
      <c r="G48" s="12" t="s">
        <v>220</v>
      </c>
      <c r="H48" s="12">
        <v>300.0</v>
      </c>
      <c r="I48" s="12">
        <v>0.1</v>
      </c>
      <c r="J48" s="12">
        <v>2.0</v>
      </c>
      <c r="K48" s="12" t="s">
        <v>11</v>
      </c>
      <c r="L48" s="12" t="s">
        <v>154</v>
      </c>
      <c r="M48" s="109">
        <v>2500000.0</v>
      </c>
      <c r="N48" s="110">
        <v>0.0</v>
      </c>
      <c r="O48" s="110">
        <v>0.75</v>
      </c>
      <c r="P48" s="110">
        <f t="shared" si="6"/>
        <v>51.42857143</v>
      </c>
      <c r="Q48" s="12">
        <v>0.35</v>
      </c>
      <c r="R48" s="12">
        <v>2.0</v>
      </c>
      <c r="S48" s="12">
        <v>18.0</v>
      </c>
      <c r="U48" t="str">
        <f>IFERROR(__xludf.DUMMYFUNCTION("IF(D48 = CHAR(10004),QUERY(F48:O48, ""select F, M, N, O""),)"),"")</f>
        <v/>
      </c>
    </row>
    <row r="49">
      <c r="A49" s="125"/>
      <c r="D49" s="105" t="str">
        <f t="array" ref="D49">INDEX($A$6:$B156,MATCH(TRUE,EXACT(E49,$A$6:$A156),0),2)</f>
        <v>✖</v>
      </c>
      <c r="E49" s="51" t="s">
        <v>206</v>
      </c>
      <c r="F49" s="12" t="s">
        <v>221</v>
      </c>
      <c r="G49" s="12" t="s">
        <v>222</v>
      </c>
      <c r="H49" s="12">
        <v>500.0</v>
      </c>
      <c r="I49" s="12">
        <v>0.055</v>
      </c>
      <c r="J49" s="12">
        <v>6.0</v>
      </c>
      <c r="K49" s="12" t="s">
        <v>11</v>
      </c>
      <c r="L49" s="12" t="s">
        <v>154</v>
      </c>
      <c r="M49" s="109">
        <v>5000000.0</v>
      </c>
      <c r="N49" s="110">
        <v>0.0</v>
      </c>
      <c r="O49" s="110">
        <v>0.75</v>
      </c>
      <c r="P49" s="110">
        <f t="shared" si="6"/>
        <v>51.42857143</v>
      </c>
      <c r="Q49" s="12">
        <v>0.35</v>
      </c>
      <c r="R49" s="12">
        <v>2.0</v>
      </c>
      <c r="S49" s="12">
        <v>18.0</v>
      </c>
      <c r="U49" t="str">
        <f>IFERROR(__xludf.DUMMYFUNCTION("IF(D49 = CHAR(10004),QUERY(F49:O49, ""select F, M, N, O""),)"),"")</f>
        <v/>
      </c>
    </row>
    <row r="50">
      <c r="A50" s="125"/>
      <c r="D50" s="105" t="str">
        <f t="array" ref="D50">INDEX($A$6:$B156,MATCH(TRUE,EXACT(E50,$A$6:$A156),0),2)</f>
        <v>✖</v>
      </c>
      <c r="E50" s="51" t="s">
        <v>206</v>
      </c>
      <c r="F50" s="12" t="s">
        <v>223</v>
      </c>
      <c r="G50" s="12" t="s">
        <v>224</v>
      </c>
      <c r="H50" s="12">
        <v>580.0</v>
      </c>
      <c r="I50" s="12">
        <v>0.075</v>
      </c>
      <c r="J50" s="12">
        <v>6.0</v>
      </c>
      <c r="K50" s="12" t="s">
        <v>11</v>
      </c>
      <c r="L50" s="12" t="s">
        <v>154</v>
      </c>
      <c r="M50" s="109">
        <v>1.0E7</v>
      </c>
      <c r="N50" s="110">
        <v>0.0</v>
      </c>
      <c r="O50" s="12">
        <v>0.75</v>
      </c>
      <c r="P50" s="110">
        <f t="shared" si="6"/>
        <v>51.42857143</v>
      </c>
      <c r="Q50" s="12">
        <v>0.35</v>
      </c>
      <c r="R50" s="12">
        <v>2.0</v>
      </c>
      <c r="S50" s="12">
        <v>18.0</v>
      </c>
      <c r="U50" t="str">
        <f>IFERROR(__xludf.DUMMYFUNCTION("IF(D50 = CHAR(10004),QUERY(F50:O50, ""select F, M, N, O""),)"),"")</f>
        <v/>
      </c>
    </row>
    <row r="51">
      <c r="D51" s="105" t="str">
        <f t="array" ref="D51">INDEX($A$6:$B156,MATCH(TRUE,EXACT(E51,$A$6:$A156),0),2)</f>
        <v>✖</v>
      </c>
      <c r="E51" s="51" t="s">
        <v>206</v>
      </c>
      <c r="F51" s="12" t="s">
        <v>225</v>
      </c>
      <c r="G51" s="12" t="s">
        <v>226</v>
      </c>
      <c r="H51" s="12">
        <v>500.0</v>
      </c>
      <c r="I51" s="12">
        <v>0.15</v>
      </c>
      <c r="J51" s="12">
        <v>5.0</v>
      </c>
      <c r="K51" s="12" t="s">
        <v>4</v>
      </c>
      <c r="L51" s="12" t="s">
        <v>151</v>
      </c>
      <c r="M51" s="109">
        <v>2.5E9</v>
      </c>
      <c r="N51" s="110">
        <v>0.0</v>
      </c>
      <c r="O51" s="110">
        <v>0.75</v>
      </c>
      <c r="P51" s="110">
        <f t="shared" si="6"/>
        <v>68.57142857</v>
      </c>
      <c r="Q51" s="12">
        <v>0.35</v>
      </c>
      <c r="R51" s="12">
        <v>1.0</v>
      </c>
      <c r="S51" s="12">
        <v>24.0</v>
      </c>
      <c r="U51" t="str">
        <f>IFERROR(__xludf.DUMMYFUNCTION("IF(D51 = CHAR(10004),QUERY(F51:O51, ""select F, M, N, O""),)"),"")</f>
        <v/>
      </c>
    </row>
    <row r="52">
      <c r="D52" s="105" t="str">
        <f t="array" ref="D52">INDEX($A$6:$B156,MATCH(TRUE,EXACT(E52,$A$6:$A156),0),2)</f>
        <v>✖</v>
      </c>
      <c r="E52" s="51" t="s">
        <v>206</v>
      </c>
      <c r="F52" s="12" t="s">
        <v>227</v>
      </c>
      <c r="G52" s="12" t="s">
        <v>228</v>
      </c>
      <c r="H52" s="12">
        <v>850.0</v>
      </c>
      <c r="I52" s="12">
        <v>0.22</v>
      </c>
      <c r="J52" s="12">
        <v>8.0</v>
      </c>
      <c r="K52" s="12" t="s">
        <v>11</v>
      </c>
      <c r="L52" s="12" t="s">
        <v>151</v>
      </c>
      <c r="M52" s="109">
        <v>1.5E10</v>
      </c>
      <c r="N52" s="110">
        <v>0.0</v>
      </c>
      <c r="O52" s="12">
        <v>0.75</v>
      </c>
      <c r="P52" s="110">
        <f t="shared" si="6"/>
        <v>68.57142857</v>
      </c>
      <c r="Q52" s="12">
        <v>0.35</v>
      </c>
      <c r="R52" s="12">
        <v>2.2</v>
      </c>
      <c r="S52" s="12">
        <v>24.0</v>
      </c>
      <c r="U52" t="str">
        <f>IFERROR(__xludf.DUMMYFUNCTION("IF(D52 = CHAR(10004),QUERY(F52:O52, ""select F, M, N, O""),)"),"")</f>
        <v/>
      </c>
    </row>
    <row r="53">
      <c r="D53" s="105" t="str">
        <f t="array" ref="D53">INDEX($A$6:$B156,MATCH(TRUE,EXACT(E53,$A$6:$A156),0),2)</f>
        <v>✖</v>
      </c>
      <c r="E53" s="51" t="s">
        <v>206</v>
      </c>
      <c r="F53" s="12" t="s">
        <v>229</v>
      </c>
      <c r="G53" s="12" t="s">
        <v>230</v>
      </c>
      <c r="H53" s="12">
        <v>900.0</v>
      </c>
      <c r="I53" s="12">
        <v>0.29</v>
      </c>
      <c r="J53" s="12">
        <v>8.0</v>
      </c>
      <c r="K53" s="12" t="s">
        <v>11</v>
      </c>
      <c r="L53" s="12" t="s">
        <v>151</v>
      </c>
      <c r="M53" s="109">
        <v>3.0E10</v>
      </c>
      <c r="N53" s="110">
        <v>0.0</v>
      </c>
      <c r="O53" s="110">
        <v>0.75</v>
      </c>
      <c r="P53" s="110">
        <f t="shared" si="6"/>
        <v>68.57142857</v>
      </c>
      <c r="Q53" s="12">
        <v>0.35</v>
      </c>
      <c r="R53" s="12">
        <v>2.2</v>
      </c>
      <c r="S53" s="12">
        <v>24.0</v>
      </c>
      <c r="U53" t="str">
        <f>IFERROR(__xludf.DUMMYFUNCTION("IF(D53 = CHAR(10004),QUERY(F53:O53, ""select F, M, N, O""),)"),"")</f>
        <v/>
      </c>
    </row>
    <row r="54">
      <c r="D54" s="105" t="str">
        <f t="array" ref="D54">INDEX($A$6:$B156,MATCH(TRUE,EXACT(E54,$A$6:$A156),0),2)</f>
        <v>✖</v>
      </c>
      <c r="E54" s="51" t="s">
        <v>206</v>
      </c>
      <c r="F54" s="12" t="s">
        <v>231</v>
      </c>
      <c r="G54" s="12" t="s">
        <v>232</v>
      </c>
      <c r="H54" s="12">
        <v>670.0</v>
      </c>
      <c r="I54" s="12">
        <v>0.36</v>
      </c>
      <c r="J54" s="12">
        <v>5.0</v>
      </c>
      <c r="K54" s="12" t="s">
        <v>11</v>
      </c>
      <c r="L54" s="12" t="s">
        <v>151</v>
      </c>
      <c r="M54" s="109">
        <v>5.0E10</v>
      </c>
      <c r="N54" s="110">
        <v>0.0</v>
      </c>
      <c r="O54" s="12">
        <v>0.75</v>
      </c>
      <c r="P54" s="110">
        <f t="shared" si="6"/>
        <v>68.57142857</v>
      </c>
      <c r="Q54" s="12">
        <v>0.35</v>
      </c>
      <c r="R54" s="12">
        <v>2.0</v>
      </c>
      <c r="S54" s="12">
        <v>24.0</v>
      </c>
      <c r="U54" t="str">
        <f>IFERROR(__xludf.DUMMYFUNCTION("IF(D54 = CHAR(10004),QUERY(F54:O54, ""select F, M, N, O""),)"),"")</f>
        <v/>
      </c>
    </row>
    <row r="55">
      <c r="D55" s="105" t="str">
        <f t="array" ref="D55">INDEX($A$6:$B156,MATCH(TRUE,EXACT(E55,$A$6:$A156),0),2)</f>
        <v>✖</v>
      </c>
      <c r="E55" s="51" t="s">
        <v>206</v>
      </c>
      <c r="F55" s="12" t="s">
        <v>233</v>
      </c>
      <c r="G55" s="12" t="s">
        <v>234</v>
      </c>
      <c r="H55" s="12">
        <v>2150.0</v>
      </c>
      <c r="I55" s="12">
        <v>0.6</v>
      </c>
      <c r="J55" s="12">
        <v>6.0</v>
      </c>
      <c r="K55" s="12" t="s">
        <v>11</v>
      </c>
      <c r="L55" s="12" t="s">
        <v>151</v>
      </c>
      <c r="M55" s="109">
        <v>1.0E11</v>
      </c>
      <c r="N55" s="110">
        <v>0.0</v>
      </c>
      <c r="O55" s="110">
        <v>0.75</v>
      </c>
      <c r="P55" s="110">
        <f t="shared" si="6"/>
        <v>68.57142857</v>
      </c>
      <c r="Q55" s="12">
        <v>0.35</v>
      </c>
      <c r="R55" s="12">
        <v>4.0</v>
      </c>
      <c r="S55" s="12">
        <v>24.0</v>
      </c>
      <c r="U55" t="str">
        <f>IFERROR(__xludf.DUMMYFUNCTION("IF(D55 = CHAR(10004),QUERY(F55:O55, ""select F, M, N, O""),)"),"")</f>
        <v/>
      </c>
    </row>
    <row r="56">
      <c r="D56" s="105" t="str">
        <f t="array" ref="D56">INDEX($A$6:$B156,MATCH(TRUE,EXACT(E56,$A$6:$A156),0),2)</f>
        <v/>
      </c>
      <c r="E56" s="99"/>
      <c r="M56" s="109"/>
      <c r="N56" s="110"/>
      <c r="P56" s="110"/>
      <c r="U56" t="str">
        <f>IFERROR(__xludf.DUMMYFUNCTION("IF(D56 = CHAR(10004),QUERY(F56:O56, ""select F, M, N, O""),)"),"")</f>
        <v/>
      </c>
    </row>
    <row r="57">
      <c r="D57" s="105" t="str">
        <f t="array" ref="D57">INDEX($A$6:$B156,MATCH(TRUE,EXACT(E57,$A$6:$A156),0),2)</f>
        <v>✔</v>
      </c>
      <c r="E57" s="51" t="s">
        <v>155</v>
      </c>
      <c r="F57" s="12" t="s">
        <v>235</v>
      </c>
      <c r="G57" s="12" t="s">
        <v>236</v>
      </c>
      <c r="H57" s="12">
        <v>210.0</v>
      </c>
      <c r="I57" s="12">
        <v>0.006</v>
      </c>
      <c r="J57" s="12">
        <v>6.0</v>
      </c>
      <c r="K57" s="12" t="s">
        <v>4</v>
      </c>
      <c r="L57" s="12" t="s">
        <v>151</v>
      </c>
      <c r="M57" s="109">
        <v>5000.0</v>
      </c>
      <c r="N57" s="110">
        <v>1.0</v>
      </c>
      <c r="O57" s="12">
        <v>0.5</v>
      </c>
      <c r="P57" s="110">
        <f t="shared" ref="P57:P74" si="7">S57/Q57</f>
        <v>40</v>
      </c>
      <c r="Q57" s="12">
        <v>0.6</v>
      </c>
      <c r="R57" s="12">
        <v>2.0</v>
      </c>
      <c r="S57" s="12">
        <v>24.0</v>
      </c>
      <c r="U57" t="str">
        <f>IFERROR(__xludf.DUMMYFUNCTION("IF(D57 = CHAR(10004),QUERY(F57:O57, ""select F, M, N, O""),)"),"F-DA Direct Antenna Feed")</f>
        <v>F-DA Direct Antenna Feed</v>
      </c>
      <c r="V57" s="115">
        <f>IFERROR(__xludf.DUMMYFUNCTION("""COMPUTED_VALUE"""),5000.0)</f>
        <v>5000</v>
      </c>
      <c r="W57" s="33">
        <f>IFERROR(__xludf.DUMMYFUNCTION("""COMPUTED_VALUE"""),1.0)</f>
        <v>1</v>
      </c>
      <c r="X57">
        <f>IFERROR(__xludf.DUMMYFUNCTION("""COMPUTED_VALUE"""),0.5)</f>
        <v>0.5</v>
      </c>
    </row>
    <row r="58">
      <c r="D58" s="105" t="str">
        <f t="array" ref="D58">INDEX($A$6:$B156,MATCH(TRUE,EXACT(E58,$A$6:$A156),0),2)</f>
        <v>✔</v>
      </c>
      <c r="E58" s="51" t="s">
        <v>155</v>
      </c>
      <c r="F58" s="12" t="s">
        <v>237</v>
      </c>
      <c r="G58" s="12" t="s">
        <v>238</v>
      </c>
      <c r="H58" s="12">
        <v>250.0</v>
      </c>
      <c r="I58" s="12">
        <v>0.095</v>
      </c>
      <c r="J58" s="12">
        <v>2.0</v>
      </c>
      <c r="K58" s="12" t="s">
        <v>4</v>
      </c>
      <c r="L58" s="12" t="s">
        <v>154</v>
      </c>
      <c r="M58" s="109">
        <v>40000.0</v>
      </c>
      <c r="N58" s="110">
        <v>0.5</v>
      </c>
      <c r="O58" s="12">
        <v>0.75</v>
      </c>
      <c r="P58" s="110">
        <f t="shared" si="7"/>
        <v>10.66666667</v>
      </c>
      <c r="Q58" s="12">
        <v>0.75</v>
      </c>
      <c r="R58" s="12">
        <v>2.0</v>
      </c>
      <c r="S58" s="12">
        <v>8.0</v>
      </c>
      <c r="U58" t="str">
        <f>IFERROR(__xludf.DUMMYFUNCTION("IF(D58 = CHAR(10004),QUERY(F58:O58, ""select F, M, N, O""),)"),"AX-4 Pointable Helical Antenna")</f>
        <v>AX-4 Pointable Helical Antenna</v>
      </c>
      <c r="V58" s="115">
        <f>IFERROR(__xludf.DUMMYFUNCTION("""COMPUTED_VALUE"""),40000.0)</f>
        <v>40000</v>
      </c>
      <c r="W58" s="33">
        <f>IFERROR(__xludf.DUMMYFUNCTION("""COMPUTED_VALUE"""),0.5)</f>
        <v>0.5</v>
      </c>
      <c r="X58">
        <f>IFERROR(__xludf.DUMMYFUNCTION("""COMPUTED_VALUE"""),0.75)</f>
        <v>0.75</v>
      </c>
    </row>
    <row r="59">
      <c r="D59" s="105" t="str">
        <f t="array" ref="D59">INDEX($A$6:$B156,MATCH(TRUE,EXACT(E59,$A$6:$A156),0),2)</f>
        <v>✔</v>
      </c>
      <c r="E59" s="51" t="s">
        <v>155</v>
      </c>
      <c r="F59" s="12" t="s">
        <v>239</v>
      </c>
      <c r="G59" s="12" t="s">
        <v>240</v>
      </c>
      <c r="H59" s="12">
        <v>350.0</v>
      </c>
      <c r="I59" s="12">
        <v>0.005</v>
      </c>
      <c r="J59" s="12">
        <v>5.0</v>
      </c>
      <c r="K59" s="12" t="s">
        <v>4</v>
      </c>
      <c r="L59" s="12" t="s">
        <v>151</v>
      </c>
      <c r="M59" s="109">
        <v>125000.0</v>
      </c>
      <c r="N59" s="110">
        <v>0.9</v>
      </c>
      <c r="O59" s="12">
        <v>1.0</v>
      </c>
      <c r="P59" s="110">
        <f t="shared" si="7"/>
        <v>35</v>
      </c>
      <c r="Q59" s="12">
        <v>0.4</v>
      </c>
      <c r="R59" s="12">
        <v>2.0</v>
      </c>
      <c r="S59" s="12">
        <v>14.0</v>
      </c>
      <c r="U59" t="str">
        <f>IFERROR(__xludf.DUMMYFUNCTION("IF(D59 = CHAR(10004),QUERY(F59:O59, ""select F, M, N, O""),)"),"PH-1 Phased Array Antenna Element")</f>
        <v>PH-1 Phased Array Antenna Element</v>
      </c>
      <c r="V59" s="115">
        <f>IFERROR(__xludf.DUMMYFUNCTION("""COMPUTED_VALUE"""),125000.0)</f>
        <v>125000</v>
      </c>
      <c r="W59" s="33">
        <f>IFERROR(__xludf.DUMMYFUNCTION("""COMPUTED_VALUE"""),0.9)</f>
        <v>0.9</v>
      </c>
      <c r="X59">
        <f>IFERROR(__xludf.DUMMYFUNCTION("""COMPUTED_VALUE"""),1.0)</f>
        <v>1</v>
      </c>
    </row>
    <row r="60">
      <c r="D60" s="105" t="str">
        <f t="array" ref="D60">INDEX($A$6:$B156,MATCH(TRUE,EXACT(E60,$A$6:$A156),0),2)</f>
        <v>✔</v>
      </c>
      <c r="E60" s="51" t="s">
        <v>155</v>
      </c>
      <c r="F60" s="12" t="s">
        <v>241</v>
      </c>
      <c r="G60" s="12" t="s">
        <v>242</v>
      </c>
      <c r="H60" s="12">
        <v>340.0</v>
      </c>
      <c r="I60" s="12">
        <v>0.005</v>
      </c>
      <c r="J60" s="12">
        <v>4.0</v>
      </c>
      <c r="K60" s="12" t="s">
        <v>4</v>
      </c>
      <c r="L60" s="12" t="s">
        <v>154</v>
      </c>
      <c r="M60" s="109">
        <v>150000.0</v>
      </c>
      <c r="N60" s="110">
        <v>0.5</v>
      </c>
      <c r="O60" s="12">
        <v>0.75</v>
      </c>
      <c r="P60" s="110">
        <f t="shared" si="7"/>
        <v>10.66666667</v>
      </c>
      <c r="Q60" s="12">
        <v>0.75</v>
      </c>
      <c r="R60" s="12">
        <v>2.0</v>
      </c>
      <c r="S60" s="12">
        <v>8.0</v>
      </c>
      <c r="U60" t="str">
        <f>IFERROR(__xludf.DUMMYFUNCTION("IF(D60 = CHAR(10004),QUERY(F60:O60, ""select F, M, N, O""),)"),"AX-5 Aerial Micro-Antenna")</f>
        <v>AX-5 Aerial Micro-Antenna</v>
      </c>
      <c r="V60" s="115">
        <f>IFERROR(__xludf.DUMMYFUNCTION("""COMPUTED_VALUE"""),150000.0)</f>
        <v>150000</v>
      </c>
      <c r="W60" s="33">
        <f>IFERROR(__xludf.DUMMYFUNCTION("""COMPUTED_VALUE"""),0.5)</f>
        <v>0.5</v>
      </c>
      <c r="X60">
        <f>IFERROR(__xludf.DUMMYFUNCTION("""COMPUTED_VALUE"""),0.75)</f>
        <v>0.75</v>
      </c>
    </row>
    <row r="61">
      <c r="D61" s="105" t="str">
        <f t="array" ref="D61">INDEX($A$6:$B156,MATCH(TRUE,EXACT(E61,$A$6:$A156),0),2)</f>
        <v>✔</v>
      </c>
      <c r="E61" s="51" t="s">
        <v>155</v>
      </c>
      <c r="F61" s="12" t="s">
        <v>243</v>
      </c>
      <c r="G61" s="12" t="s">
        <v>244</v>
      </c>
      <c r="H61" s="12">
        <v>390.0</v>
      </c>
      <c r="I61" s="12">
        <v>0.0075</v>
      </c>
      <c r="J61" s="12">
        <v>6.0</v>
      </c>
      <c r="K61" s="12" t="s">
        <v>4</v>
      </c>
      <c r="L61" s="12" t="s">
        <v>151</v>
      </c>
      <c r="M61" s="109">
        <v>200000.0</v>
      </c>
      <c r="N61" s="110">
        <v>0.9</v>
      </c>
      <c r="O61" s="12">
        <v>1.0</v>
      </c>
      <c r="P61" s="110">
        <f t="shared" si="7"/>
        <v>35</v>
      </c>
      <c r="Q61" s="12">
        <v>0.4</v>
      </c>
      <c r="R61" s="12">
        <v>2.0</v>
      </c>
      <c r="S61" s="12">
        <v>14.0</v>
      </c>
      <c r="U61" t="str">
        <f>IFERROR(__xludf.DUMMYFUNCTION("IF(D61 = CHAR(10004),QUERY(F61:O61, ""select F, M, N, O""),)"),"PH-2 Phased Array Antenna Element")</f>
        <v>PH-2 Phased Array Antenna Element</v>
      </c>
      <c r="V61" s="115">
        <f>IFERROR(__xludf.DUMMYFUNCTION("""COMPUTED_VALUE"""),200000.0)</f>
        <v>200000</v>
      </c>
      <c r="W61" s="33">
        <f>IFERROR(__xludf.DUMMYFUNCTION("""COMPUTED_VALUE"""),0.9)</f>
        <v>0.9</v>
      </c>
      <c r="X61">
        <f>IFERROR(__xludf.DUMMYFUNCTION("""COMPUTED_VALUE"""),1.0)</f>
        <v>1</v>
      </c>
    </row>
    <row r="62">
      <c r="D62" s="105" t="str">
        <f t="array" ref="D62">INDEX($A$6:$B156,MATCH(TRUE,EXACT(E62,$A$6:$A156),0),2)</f>
        <v>✔</v>
      </c>
      <c r="E62" s="51" t="s">
        <v>155</v>
      </c>
      <c r="F62" s="12" t="s">
        <v>245</v>
      </c>
      <c r="G62" s="12" t="s">
        <v>246</v>
      </c>
      <c r="H62" s="12">
        <v>500.0</v>
      </c>
      <c r="I62" s="12">
        <v>0.01</v>
      </c>
      <c r="J62" s="12">
        <v>5.0</v>
      </c>
      <c r="K62" s="12" t="s">
        <v>4</v>
      </c>
      <c r="L62" s="12" t="s">
        <v>154</v>
      </c>
      <c r="M62" s="109">
        <v>300000.0</v>
      </c>
      <c r="N62" s="110">
        <v>0.5</v>
      </c>
      <c r="O62" s="12">
        <v>0.75</v>
      </c>
      <c r="P62" s="110">
        <f t="shared" si="7"/>
        <v>15.38461538</v>
      </c>
      <c r="Q62" s="12">
        <v>0.65</v>
      </c>
      <c r="R62" s="12">
        <v>2.0</v>
      </c>
      <c r="S62" s="12">
        <v>10.0</v>
      </c>
      <c r="U62" t="str">
        <f>IFERROR(__xludf.DUMMYFUNCTION("IF(D62 = CHAR(10004),QUERY(F62:O62, ""select F, M, N, O""),)"),"AX-30 High Gain Micro-Antenna")</f>
        <v>AX-30 High Gain Micro-Antenna</v>
      </c>
      <c r="V62" s="115">
        <f>IFERROR(__xludf.DUMMYFUNCTION("""COMPUTED_VALUE"""),300000.0)</f>
        <v>300000</v>
      </c>
      <c r="W62" s="33">
        <f>IFERROR(__xludf.DUMMYFUNCTION("""COMPUTED_VALUE"""),0.5)</f>
        <v>0.5</v>
      </c>
      <c r="X62">
        <f>IFERROR(__xludf.DUMMYFUNCTION("""COMPUTED_VALUE"""),0.75)</f>
        <v>0.75</v>
      </c>
    </row>
    <row r="63">
      <c r="D63" s="105" t="str">
        <f t="array" ref="D63">INDEX($A$6:$B156,MATCH(TRUE,EXACT(E63,$A$6:$A156),0),2)</f>
        <v>✔</v>
      </c>
      <c r="E63" s="51" t="s">
        <v>155</v>
      </c>
      <c r="F63" s="12" t="s">
        <v>247</v>
      </c>
      <c r="G63" s="12" t="s">
        <v>248</v>
      </c>
      <c r="H63" s="12">
        <v>320.0</v>
      </c>
      <c r="I63" s="12">
        <v>0.01</v>
      </c>
      <c r="J63" s="12">
        <v>4.0</v>
      </c>
      <c r="K63" s="12" t="s">
        <v>4</v>
      </c>
      <c r="L63" s="12" t="s">
        <v>151</v>
      </c>
      <c r="M63" s="109">
        <v>300000.0</v>
      </c>
      <c r="N63" s="110">
        <v>0.9</v>
      </c>
      <c r="O63" s="12">
        <v>0.75</v>
      </c>
      <c r="P63" s="110">
        <f t="shared" si="7"/>
        <v>40</v>
      </c>
      <c r="Q63" s="12">
        <v>0.25</v>
      </c>
      <c r="R63" s="12">
        <v>2.0</v>
      </c>
      <c r="S63" s="12">
        <v>10.0</v>
      </c>
      <c r="U63" t="str">
        <f>IFERROR(__xludf.DUMMYFUNCTION("IF(D63 = CHAR(10004),QUERY(F63:O63, ""select F, M, N, O""),)"),"DR-1 High Gain Antenna")</f>
        <v>DR-1 High Gain Antenna</v>
      </c>
      <c r="V63" s="115">
        <f>IFERROR(__xludf.DUMMYFUNCTION("""COMPUTED_VALUE"""),300000.0)</f>
        <v>300000</v>
      </c>
      <c r="W63" s="33">
        <f>IFERROR(__xludf.DUMMYFUNCTION("""COMPUTED_VALUE"""),0.9)</f>
        <v>0.9</v>
      </c>
      <c r="X63">
        <f>IFERROR(__xludf.DUMMYFUNCTION("""COMPUTED_VALUE"""),0.75)</f>
        <v>0.75</v>
      </c>
    </row>
    <row r="64">
      <c r="D64" s="105" t="str">
        <f t="array" ref="D64">INDEX($A$6:$B156,MATCH(TRUE,EXACT(E64,$A$6:$A156),0),2)</f>
        <v>✔</v>
      </c>
      <c r="E64" s="51" t="s">
        <v>155</v>
      </c>
      <c r="F64" s="12" t="s">
        <v>249</v>
      </c>
      <c r="G64" s="12" t="s">
        <v>250</v>
      </c>
      <c r="H64" s="12">
        <v>650.0</v>
      </c>
      <c r="I64" s="12">
        <v>0.02</v>
      </c>
      <c r="J64" s="12">
        <v>5.0</v>
      </c>
      <c r="K64" s="12" t="s">
        <v>4</v>
      </c>
      <c r="L64" s="12" t="s">
        <v>154</v>
      </c>
      <c r="M64" s="109">
        <v>500000.0</v>
      </c>
      <c r="N64" s="110">
        <v>0.9</v>
      </c>
      <c r="O64" s="12">
        <v>0.75</v>
      </c>
      <c r="P64" s="110">
        <f t="shared" si="7"/>
        <v>48</v>
      </c>
      <c r="Q64" s="12">
        <v>0.25</v>
      </c>
      <c r="R64" s="12">
        <v>4.0</v>
      </c>
      <c r="S64" s="12">
        <v>12.0</v>
      </c>
      <c r="U64" t="str">
        <f>IFERROR(__xludf.DUMMYFUNCTION("IF(D64 = CHAR(10004),QUERY(F64:O64, ""select F, M, N, O""),)"),"DR-3 Deployable High Gain Antenna")</f>
        <v>DR-3 Deployable High Gain Antenna</v>
      </c>
      <c r="V64" s="115">
        <f>IFERROR(__xludf.DUMMYFUNCTION("""COMPUTED_VALUE"""),500000.0)</f>
        <v>500000</v>
      </c>
      <c r="W64" s="33">
        <f>IFERROR(__xludf.DUMMYFUNCTION("""COMPUTED_VALUE"""),0.9)</f>
        <v>0.9</v>
      </c>
      <c r="X64">
        <f>IFERROR(__xludf.DUMMYFUNCTION("""COMPUTED_VALUE"""),0.75)</f>
        <v>0.75</v>
      </c>
    </row>
    <row r="65">
      <c r="D65" s="105" t="str">
        <f t="array" ref="D65">INDEX($A$6:$B156,MATCH(TRUE,EXACT(E65,$A$6:$A156),0),2)</f>
        <v>✔</v>
      </c>
      <c r="E65" s="51" t="s">
        <v>155</v>
      </c>
      <c r="F65" s="12" t="s">
        <v>251</v>
      </c>
      <c r="G65" s="12" t="s">
        <v>252</v>
      </c>
      <c r="H65" s="12">
        <v>420.0</v>
      </c>
      <c r="I65" s="12">
        <v>0.0075</v>
      </c>
      <c r="J65" s="12">
        <v>7.0</v>
      </c>
      <c r="K65" s="12" t="s">
        <v>4</v>
      </c>
      <c r="L65" s="12" t="s">
        <v>151</v>
      </c>
      <c r="M65" s="109">
        <v>800000.0</v>
      </c>
      <c r="N65" s="110">
        <v>0.9</v>
      </c>
      <c r="O65" s="12">
        <v>1.0</v>
      </c>
      <c r="P65" s="110">
        <f t="shared" si="7"/>
        <v>50</v>
      </c>
      <c r="Q65" s="12">
        <v>0.4</v>
      </c>
      <c r="R65" s="12">
        <v>3.0</v>
      </c>
      <c r="S65" s="12">
        <v>20.0</v>
      </c>
      <c r="U65" t="str">
        <f>IFERROR(__xludf.DUMMYFUNCTION("IF(D65 = CHAR(10004),QUERY(F65:O65, ""select F, M, N, O""),)"),"PH-3 Phased Array Antenna Element")</f>
        <v>PH-3 Phased Array Antenna Element</v>
      </c>
      <c r="V65" s="115">
        <f>IFERROR(__xludf.DUMMYFUNCTION("""COMPUTED_VALUE"""),800000.0)</f>
        <v>800000</v>
      </c>
      <c r="W65" s="33">
        <f>IFERROR(__xludf.DUMMYFUNCTION("""COMPUTED_VALUE"""),0.9)</f>
        <v>0.9</v>
      </c>
      <c r="X65">
        <f>IFERROR(__xludf.DUMMYFUNCTION("""COMPUTED_VALUE"""),1.0)</f>
        <v>1</v>
      </c>
    </row>
    <row r="66">
      <c r="D66" s="105" t="str">
        <f t="array" ref="D66">INDEX($A$6:$B156,MATCH(TRUE,EXACT(E66,$A$6:$A156),0),2)</f>
        <v>✔</v>
      </c>
      <c r="E66" s="51" t="s">
        <v>155</v>
      </c>
      <c r="F66" s="12" t="s">
        <v>253</v>
      </c>
      <c r="G66" s="12" t="s">
        <v>254</v>
      </c>
      <c r="H66" s="12">
        <v>650.0</v>
      </c>
      <c r="I66" s="12">
        <v>0.04</v>
      </c>
      <c r="J66" s="12">
        <v>6.0</v>
      </c>
      <c r="K66" s="12" t="s">
        <v>4</v>
      </c>
      <c r="L66" s="12" t="s">
        <v>151</v>
      </c>
      <c r="M66" s="109">
        <v>2000000.0</v>
      </c>
      <c r="N66" s="110">
        <v>0.9</v>
      </c>
      <c r="O66" s="12">
        <v>0.75</v>
      </c>
      <c r="P66" s="110">
        <f t="shared" si="7"/>
        <v>60</v>
      </c>
      <c r="Q66" s="12">
        <v>0.1</v>
      </c>
      <c r="R66" s="12">
        <v>1.0</v>
      </c>
      <c r="S66" s="12">
        <v>6.0</v>
      </c>
      <c r="U66" t="str">
        <f>IFERROR(__xludf.DUMMYFUNCTION("IF(D66 = CHAR(10004),QUERY(F66:O66, ""select F, M, N, O""),)"),"D-2 Spot Antenna")</f>
        <v>D-2 Spot Antenna</v>
      </c>
      <c r="V66" s="115">
        <f>IFERROR(__xludf.DUMMYFUNCTION("""COMPUTED_VALUE"""),2000000.0)</f>
        <v>2000000</v>
      </c>
      <c r="W66" s="33">
        <f>IFERROR(__xludf.DUMMYFUNCTION("""COMPUTED_VALUE"""),0.9)</f>
        <v>0.9</v>
      </c>
      <c r="X66">
        <f>IFERROR(__xludf.DUMMYFUNCTION("""COMPUTED_VALUE"""),0.75)</f>
        <v>0.75</v>
      </c>
    </row>
    <row r="67">
      <c r="D67" s="105" t="str">
        <f t="array" ref="D67">INDEX($A$6:$B156,MATCH(TRUE,EXACT(E67,$A$6:$A156),0),2)</f>
        <v>✔</v>
      </c>
      <c r="E67" s="51" t="s">
        <v>155</v>
      </c>
      <c r="F67" s="12" t="s">
        <v>115</v>
      </c>
      <c r="G67" s="12" t="s">
        <v>255</v>
      </c>
      <c r="H67" s="12">
        <v>800.0</v>
      </c>
      <c r="I67" s="12">
        <v>0.09</v>
      </c>
      <c r="J67" s="12">
        <v>7.0</v>
      </c>
      <c r="K67" s="12" t="s">
        <v>4</v>
      </c>
      <c r="L67" s="12" t="s">
        <v>151</v>
      </c>
      <c r="M67" s="109">
        <v>5.0E7</v>
      </c>
      <c r="N67" s="110">
        <v>0.9</v>
      </c>
      <c r="O67" s="12">
        <v>0.75</v>
      </c>
      <c r="P67" s="110">
        <f t="shared" si="7"/>
        <v>60</v>
      </c>
      <c r="Q67" s="12">
        <v>0.1</v>
      </c>
      <c r="R67" s="12">
        <v>2.0</v>
      </c>
      <c r="S67" s="12">
        <v>6.0</v>
      </c>
      <c r="U67" t="str">
        <f>IFERROR(__xludf.DUMMYFUNCTION("IF(D67 = CHAR(10004),QUERY(F67:O67, ""select F, M, N, O""),)"),"D-50 Large Spot Antenna")</f>
        <v>D-50 Large Spot Antenna</v>
      </c>
      <c r="V67" s="115">
        <f>IFERROR(__xludf.DUMMYFUNCTION("""COMPUTED_VALUE"""),5.0E7)</f>
        <v>50000000</v>
      </c>
      <c r="W67" s="33">
        <f>IFERROR(__xludf.DUMMYFUNCTION("""COMPUTED_VALUE"""),0.9)</f>
        <v>0.9</v>
      </c>
      <c r="X67">
        <f>IFERROR(__xludf.DUMMYFUNCTION("""COMPUTED_VALUE"""),0.75)</f>
        <v>0.75</v>
      </c>
    </row>
    <row r="68">
      <c r="D68" s="105" t="str">
        <f t="array" ref="D68">INDEX($A$6:$B156,MATCH(TRUE,EXACT(E68,$A$6:$A156),0),2)</f>
        <v>✔</v>
      </c>
      <c r="E68" s="51" t="s">
        <v>155</v>
      </c>
      <c r="F68" s="12" t="s">
        <v>113</v>
      </c>
      <c r="G68" s="12" t="s">
        <v>256</v>
      </c>
      <c r="H68" s="12">
        <v>500.0</v>
      </c>
      <c r="I68" s="12">
        <v>0.009</v>
      </c>
      <c r="J68" s="12">
        <v>6.0</v>
      </c>
      <c r="K68" s="12" t="s">
        <v>11</v>
      </c>
      <c r="L68" s="12" t="s">
        <v>151</v>
      </c>
      <c r="M68" s="109">
        <v>5000.0</v>
      </c>
      <c r="N68" s="110">
        <v>1.0</v>
      </c>
      <c r="O68" s="12">
        <v>0.5</v>
      </c>
      <c r="P68" s="110">
        <f t="shared" si="7"/>
        <v>40</v>
      </c>
      <c r="Q68" s="12">
        <v>0.6</v>
      </c>
      <c r="R68" s="12">
        <v>2.0</v>
      </c>
      <c r="S68" s="12">
        <v>24.0</v>
      </c>
      <c r="U68" t="str">
        <f>IFERROR(__xludf.DUMMYFUNCTION("IF(D68 = CHAR(10004),QUERY(F68:O68, ""select F, M, N, O""),)"),"F-RA Relay Antenna Feed")</f>
        <v>F-RA Relay Antenna Feed</v>
      </c>
      <c r="V68" s="115">
        <f>IFERROR(__xludf.DUMMYFUNCTION("""COMPUTED_VALUE"""),5000.0)</f>
        <v>5000</v>
      </c>
      <c r="W68" s="33">
        <f>IFERROR(__xludf.DUMMYFUNCTION("""COMPUTED_VALUE"""),1.0)</f>
        <v>1</v>
      </c>
      <c r="X68">
        <f>IFERROR(__xludf.DUMMYFUNCTION("""COMPUTED_VALUE"""),0.5)</f>
        <v>0.5</v>
      </c>
    </row>
    <row r="69">
      <c r="D69" s="105" t="str">
        <f t="array" ref="D69">INDEX($A$6:$B156,MATCH(TRUE,EXACT(E69,$A$6:$A156),0),2)</f>
        <v>✔</v>
      </c>
      <c r="E69" s="51" t="s">
        <v>155</v>
      </c>
      <c r="F69" s="12" t="s">
        <v>257</v>
      </c>
      <c r="G69" s="12" t="s">
        <v>258</v>
      </c>
      <c r="H69" s="12">
        <v>300.0</v>
      </c>
      <c r="I69" s="12">
        <v>0.09</v>
      </c>
      <c r="J69" s="12">
        <v>5.0</v>
      </c>
      <c r="K69" s="12" t="s">
        <v>11</v>
      </c>
      <c r="L69" s="12" t="s">
        <v>151</v>
      </c>
      <c r="M69" s="109">
        <v>2000000.0</v>
      </c>
      <c r="N69" s="110">
        <v>0.5</v>
      </c>
      <c r="O69" s="12">
        <v>0.75</v>
      </c>
      <c r="P69" s="110">
        <f t="shared" si="7"/>
        <v>68.57142857</v>
      </c>
      <c r="Q69" s="12">
        <v>0.35</v>
      </c>
      <c r="R69" s="12">
        <v>1.0</v>
      </c>
      <c r="S69" s="12">
        <v>24.0</v>
      </c>
      <c r="U69" t="str">
        <f>IFERROR(__xludf.DUMMYFUNCTION("IF(D69 = CHAR(10004),QUERY(F69:O69, ""select F, M, N, O""),)"),"RA-00-2 Micro-Relay Antenna")</f>
        <v>RA-00-2 Micro-Relay Antenna</v>
      </c>
      <c r="V69" s="115">
        <f>IFERROR(__xludf.DUMMYFUNCTION("""COMPUTED_VALUE"""),2000000.0)</f>
        <v>2000000</v>
      </c>
      <c r="W69" s="33">
        <f>IFERROR(__xludf.DUMMYFUNCTION("""COMPUTED_VALUE"""),0.5)</f>
        <v>0.5</v>
      </c>
      <c r="X69">
        <f>IFERROR(__xludf.DUMMYFUNCTION("""COMPUTED_VALUE"""),0.75)</f>
        <v>0.75</v>
      </c>
    </row>
    <row r="70">
      <c r="D70" s="105" t="str">
        <f t="array" ref="D70">INDEX($A$6:$B156,MATCH(TRUE,EXACT(E70,$A$6:$A156),0),2)</f>
        <v>✔</v>
      </c>
      <c r="E70" s="51" t="s">
        <v>155</v>
      </c>
      <c r="F70" s="12" t="s">
        <v>259</v>
      </c>
      <c r="G70" s="12" t="s">
        <v>260</v>
      </c>
      <c r="H70" s="12">
        <v>600.0</v>
      </c>
      <c r="I70" s="12">
        <v>0.06</v>
      </c>
      <c r="J70" s="12">
        <v>6.0</v>
      </c>
      <c r="K70" s="12" t="s">
        <v>11</v>
      </c>
      <c r="L70" s="12" t="s">
        <v>154</v>
      </c>
      <c r="M70" s="109">
        <v>6000000.0</v>
      </c>
      <c r="N70" s="110">
        <v>0.75</v>
      </c>
      <c r="O70" s="12">
        <v>0.25</v>
      </c>
      <c r="P70" s="110">
        <f t="shared" si="7"/>
        <v>40</v>
      </c>
      <c r="Q70" s="12">
        <v>0.5</v>
      </c>
      <c r="R70" s="12">
        <v>3.0</v>
      </c>
      <c r="S70" s="12">
        <v>20.0</v>
      </c>
      <c r="U70" t="str">
        <f>IFERROR(__xludf.DUMMYFUNCTION("IF(D70 = CHAR(10004),QUERY(F70:O70, ""select F, M, N, O""),)"),"RA-X1 Phased Relay Antenna")</f>
        <v>RA-X1 Phased Relay Antenna</v>
      </c>
      <c r="V70" s="115">
        <f>IFERROR(__xludf.DUMMYFUNCTION("""COMPUTED_VALUE"""),6000000.0)</f>
        <v>6000000</v>
      </c>
      <c r="W70" s="33">
        <f>IFERROR(__xludf.DUMMYFUNCTION("""COMPUTED_VALUE"""),0.75)</f>
        <v>0.75</v>
      </c>
      <c r="X70">
        <f>IFERROR(__xludf.DUMMYFUNCTION("""COMPUTED_VALUE"""),0.25)</f>
        <v>0.25</v>
      </c>
    </row>
    <row r="71">
      <c r="D71" s="105" t="str">
        <f t="array" ref="D71">INDEX($A$6:$B156,MATCH(TRUE,EXACT(E71,$A$6:$A156),0),2)</f>
        <v>✔</v>
      </c>
      <c r="E71" s="51" t="s">
        <v>155</v>
      </c>
      <c r="F71" s="12" t="s">
        <v>261</v>
      </c>
      <c r="G71" s="12" t="s">
        <v>262</v>
      </c>
      <c r="H71" s="12">
        <v>725.0</v>
      </c>
      <c r="I71" s="12">
        <v>0.09</v>
      </c>
      <c r="J71" s="12">
        <v>7.0</v>
      </c>
      <c r="K71" s="12" t="s">
        <v>11</v>
      </c>
      <c r="L71" s="12" t="s">
        <v>154</v>
      </c>
      <c r="M71" s="109">
        <v>1.0E7</v>
      </c>
      <c r="N71" s="110">
        <v>0.75</v>
      </c>
      <c r="O71" s="12">
        <v>0.25</v>
      </c>
      <c r="P71" s="110">
        <f t="shared" si="7"/>
        <v>70</v>
      </c>
      <c r="Q71" s="12">
        <v>0.5</v>
      </c>
      <c r="R71" s="12">
        <v>6.0</v>
      </c>
      <c r="S71" s="12">
        <v>35.0</v>
      </c>
      <c r="U71" t="str">
        <f>IFERROR(__xludf.DUMMYFUNCTION("IF(D71 = CHAR(10004),QUERY(F71:O71, ""select F, M, N, O""),)"),"RA-X2 Phased Relay Antenna")</f>
        <v>RA-X2 Phased Relay Antenna</v>
      </c>
      <c r="V71" s="115">
        <f>IFERROR(__xludf.DUMMYFUNCTION("""COMPUTED_VALUE"""),1.0E7)</f>
        <v>10000000</v>
      </c>
      <c r="W71" s="33">
        <f>IFERROR(__xludf.DUMMYFUNCTION("""COMPUTED_VALUE"""),0.75)</f>
        <v>0.75</v>
      </c>
      <c r="X71">
        <f>IFERROR(__xludf.DUMMYFUNCTION("""COMPUTED_VALUE"""),0.25)</f>
        <v>0.25</v>
      </c>
    </row>
    <row r="72">
      <c r="D72" s="105" t="str">
        <f t="array" ref="D72">INDEX($A$6:$B156,MATCH(TRUE,EXACT(E72,$A$6:$A156),0),2)</f>
        <v>✔</v>
      </c>
      <c r="E72" s="51" t="s">
        <v>155</v>
      </c>
      <c r="F72" s="12" t="s">
        <v>263</v>
      </c>
      <c r="G72" s="12" t="s">
        <v>264</v>
      </c>
      <c r="H72" s="12">
        <v>300.0</v>
      </c>
      <c r="I72" s="12">
        <v>0.13</v>
      </c>
      <c r="J72" s="12">
        <v>6.0</v>
      </c>
      <c r="K72" s="12" t="s">
        <v>11</v>
      </c>
      <c r="L72" s="12" t="s">
        <v>154</v>
      </c>
      <c r="M72" s="109">
        <v>8.5E7</v>
      </c>
      <c r="N72" s="110">
        <v>0.5</v>
      </c>
      <c r="O72" s="12">
        <v>0.75</v>
      </c>
      <c r="P72" s="110">
        <f t="shared" si="7"/>
        <v>68.57142857</v>
      </c>
      <c r="Q72" s="12">
        <v>0.35</v>
      </c>
      <c r="R72" s="12">
        <v>2.0</v>
      </c>
      <c r="S72" s="12">
        <v>24.0</v>
      </c>
      <c r="U72" t="str">
        <f>IFERROR(__xludf.DUMMYFUNCTION("IF(D72 = CHAR(10004),QUERY(F72:O72, ""select F, M, N, O""),)"),"RA-0-8 Relay Antenna")</f>
        <v>RA-0-8 Relay Antenna</v>
      </c>
      <c r="V72" s="115">
        <f>IFERROR(__xludf.DUMMYFUNCTION("""COMPUTED_VALUE"""),8.5E7)</f>
        <v>85000000</v>
      </c>
      <c r="W72" s="33">
        <f>IFERROR(__xludf.DUMMYFUNCTION("""COMPUTED_VALUE"""),0.5)</f>
        <v>0.5</v>
      </c>
      <c r="X72">
        <f>IFERROR(__xludf.DUMMYFUNCTION("""COMPUTED_VALUE"""),0.75)</f>
        <v>0.75</v>
      </c>
    </row>
    <row r="73">
      <c r="D73" s="105" t="str">
        <f t="array" ref="D73">INDEX($A$6:$B156,MATCH(TRUE,EXACT(E73,$A$6:$A156),0),2)</f>
        <v>✔</v>
      </c>
      <c r="E73" s="51" t="s">
        <v>155</v>
      </c>
      <c r="F73" s="12" t="s">
        <v>116</v>
      </c>
      <c r="G73" s="12" t="s">
        <v>265</v>
      </c>
      <c r="H73" s="12">
        <v>850.0</v>
      </c>
      <c r="I73" s="12">
        <v>0.54</v>
      </c>
      <c r="J73" s="12">
        <v>8.0</v>
      </c>
      <c r="K73" s="12" t="s">
        <v>11</v>
      </c>
      <c r="L73" s="12" t="s">
        <v>151</v>
      </c>
      <c r="M73" s="109">
        <v>1.0E8</v>
      </c>
      <c r="N73" s="110">
        <v>0.75</v>
      </c>
      <c r="O73" s="12">
        <v>0.25</v>
      </c>
      <c r="P73" s="110">
        <f t="shared" si="7"/>
        <v>90</v>
      </c>
      <c r="Q73" s="12">
        <v>0.5</v>
      </c>
      <c r="R73" s="12">
        <v>8.0</v>
      </c>
      <c r="S73" s="12">
        <v>45.0</v>
      </c>
      <c r="U73" t="str">
        <f>IFERROR(__xludf.DUMMYFUNCTION("IF(D73 = CHAR(10004),QUERY(F73:O73, ""select F, M, N, O""),)"),"RA-X3 Phased Relay Antenna")</f>
        <v>RA-X3 Phased Relay Antenna</v>
      </c>
      <c r="V73" s="115">
        <f>IFERROR(__xludf.DUMMYFUNCTION("""COMPUTED_VALUE"""),1.0E8)</f>
        <v>100000000</v>
      </c>
      <c r="W73" s="33">
        <f>IFERROR(__xludf.DUMMYFUNCTION("""COMPUTED_VALUE"""),0.75)</f>
        <v>0.75</v>
      </c>
      <c r="X73">
        <f>IFERROR(__xludf.DUMMYFUNCTION("""COMPUTED_VALUE"""),0.25)</f>
        <v>0.25</v>
      </c>
    </row>
    <row r="74">
      <c r="D74" s="105" t="str">
        <f t="array" ref="D74">INDEX($A$6:$B156,MATCH(TRUE,EXACT(E74,$A$6:$A156),0),2)</f>
        <v>✔</v>
      </c>
      <c r="E74" s="51" t="s">
        <v>155</v>
      </c>
      <c r="F74" s="12" t="s">
        <v>266</v>
      </c>
      <c r="G74" s="12" t="s">
        <v>267</v>
      </c>
      <c r="H74" s="12">
        <v>300.0</v>
      </c>
      <c r="I74" s="12">
        <v>0.2</v>
      </c>
      <c r="J74" s="12">
        <v>7.0</v>
      </c>
      <c r="K74" s="12" t="s">
        <v>11</v>
      </c>
      <c r="L74" s="12" t="s">
        <v>154</v>
      </c>
      <c r="M74" s="109">
        <v>5.0E8</v>
      </c>
      <c r="N74" s="110">
        <v>0.5</v>
      </c>
      <c r="O74" s="12">
        <v>0.75</v>
      </c>
      <c r="P74" s="110">
        <f t="shared" si="7"/>
        <v>46.66666667</v>
      </c>
      <c r="Q74" s="12">
        <v>0.6</v>
      </c>
      <c r="R74" s="12">
        <v>3.0</v>
      </c>
      <c r="S74" s="12">
        <v>28.0</v>
      </c>
      <c r="U74" t="str">
        <f>IFERROR(__xludf.DUMMYFUNCTION("IF(D74 = CHAR(10004),QUERY(F74:O74, ""select F, M, N, O""),)"),"RA-5B Advanced Relay Antenna")</f>
        <v>RA-5B Advanced Relay Antenna</v>
      </c>
      <c r="V74" s="115">
        <f>IFERROR(__xludf.DUMMYFUNCTION("""COMPUTED_VALUE"""),5.0E8)</f>
        <v>500000000</v>
      </c>
      <c r="W74" s="33">
        <f>IFERROR(__xludf.DUMMYFUNCTION("""COMPUTED_VALUE"""),0.5)</f>
        <v>0.5</v>
      </c>
      <c r="X74">
        <f>IFERROR(__xludf.DUMMYFUNCTION("""COMPUTED_VALUE"""),0.75)</f>
        <v>0.75</v>
      </c>
    </row>
    <row r="75">
      <c r="D75" s="105" t="str">
        <f t="array" ref="D75">INDEX($A$6:$B156,MATCH(TRUE,EXACT(E75,$A$6:$A156),0),2)</f>
        <v>✔</v>
      </c>
      <c r="E75" s="51" t="s">
        <v>155</v>
      </c>
      <c r="F75" s="12" t="s">
        <v>117</v>
      </c>
      <c r="G75" s="12" t="s">
        <v>268</v>
      </c>
      <c r="H75" s="12">
        <v>400.0</v>
      </c>
      <c r="I75" s="12">
        <v>0.1</v>
      </c>
      <c r="J75" s="12">
        <v>6.0</v>
      </c>
      <c r="K75" s="12" t="s">
        <v>269</v>
      </c>
      <c r="L75" s="12" t="s">
        <v>154</v>
      </c>
      <c r="M75" s="109">
        <v>9000000.0</v>
      </c>
      <c r="N75" s="110">
        <v>0.0</v>
      </c>
      <c r="O75" s="12">
        <v>1.0</v>
      </c>
      <c r="P75" s="110">
        <f t="shared" ref="P75:P80" si="8">IFERROR(S82/Q82,0)</f>
        <v>0</v>
      </c>
      <c r="Q75" s="12">
        <v>0.0</v>
      </c>
      <c r="R75" s="12">
        <v>0.0</v>
      </c>
      <c r="S75" s="12">
        <v>0.0</v>
      </c>
      <c r="U75" t="str">
        <f>IFERROR(__xludf.DUMMYFUNCTION("IF(D75 = CHAR(10004),QUERY(F75:O75, ""select F, M, N, O""),)"),"RFL-1 Dish Reflector")</f>
        <v>RFL-1 Dish Reflector</v>
      </c>
      <c r="V75" s="115">
        <f>IFERROR(__xludf.DUMMYFUNCTION("""COMPUTED_VALUE"""),9000000.0)</f>
        <v>9000000</v>
      </c>
      <c r="W75" s="33">
        <f>IFERROR(__xludf.DUMMYFUNCTION("""COMPUTED_VALUE"""),0.0)</f>
        <v>0</v>
      </c>
      <c r="X75">
        <f>IFERROR(__xludf.DUMMYFUNCTION("""COMPUTED_VALUE"""),1.0)</f>
        <v>1</v>
      </c>
    </row>
    <row r="76">
      <c r="D76" s="105" t="str">
        <f t="array" ref="D76">INDEX($A$6:$B156,MATCH(TRUE,EXACT(E76,$A$6:$A156),0),2)</f>
        <v>✔</v>
      </c>
      <c r="E76" s="51" t="s">
        <v>155</v>
      </c>
      <c r="F76" s="12" t="s">
        <v>114</v>
      </c>
      <c r="G76" s="12" t="s">
        <v>270</v>
      </c>
      <c r="H76" s="12">
        <v>800.0</v>
      </c>
      <c r="I76" s="12">
        <v>0.25</v>
      </c>
      <c r="J76" s="12">
        <v>7.0</v>
      </c>
      <c r="K76" s="12" t="s">
        <v>269</v>
      </c>
      <c r="L76" s="12" t="s">
        <v>154</v>
      </c>
      <c r="M76" s="109">
        <v>7.5E7</v>
      </c>
      <c r="N76" s="110">
        <v>0.0</v>
      </c>
      <c r="O76" s="12">
        <v>1.0</v>
      </c>
      <c r="P76" s="110">
        <f t="shared" si="8"/>
        <v>0</v>
      </c>
      <c r="Q76" s="12">
        <v>0.0</v>
      </c>
      <c r="R76" s="12">
        <v>0.0</v>
      </c>
      <c r="S76" s="12">
        <v>0.0</v>
      </c>
      <c r="U76" t="str">
        <f>IFERROR(__xludf.DUMMYFUNCTION("IF(D76 = CHAR(10004),QUERY(F76:O76, ""select F, M, N, O""),)"),"RFL-2 Medium Dish Reflector")</f>
        <v>RFL-2 Medium Dish Reflector</v>
      </c>
      <c r="V76" s="115">
        <f>IFERROR(__xludf.DUMMYFUNCTION("""COMPUTED_VALUE"""),7.5E7)</f>
        <v>75000000</v>
      </c>
      <c r="W76" s="33">
        <f>IFERROR(__xludf.DUMMYFUNCTION("""COMPUTED_VALUE"""),0.0)</f>
        <v>0</v>
      </c>
      <c r="X76">
        <f>IFERROR(__xludf.DUMMYFUNCTION("""COMPUTED_VALUE"""),1.0)</f>
        <v>1</v>
      </c>
    </row>
    <row r="77">
      <c r="D77" s="105" t="str">
        <f t="array" ref="D77">INDEX($A$6:$B156,MATCH(TRUE,EXACT(E77,$A$6:$A156),0),2)</f>
        <v>✔</v>
      </c>
      <c r="E77" s="51" t="s">
        <v>155</v>
      </c>
      <c r="F77" s="12" t="s">
        <v>271</v>
      </c>
      <c r="G77" s="12" t="s">
        <v>272</v>
      </c>
      <c r="H77" s="12">
        <v>1300.0</v>
      </c>
      <c r="I77" s="12">
        <v>0.45</v>
      </c>
      <c r="J77" s="12">
        <v>8.0</v>
      </c>
      <c r="K77" s="12" t="s">
        <v>269</v>
      </c>
      <c r="L77" s="12" t="s">
        <v>154</v>
      </c>
      <c r="M77" s="109">
        <v>8.5E8</v>
      </c>
      <c r="N77" s="110">
        <v>0.0</v>
      </c>
      <c r="O77" s="12">
        <v>1.0</v>
      </c>
      <c r="P77" s="110">
        <f t="shared" si="8"/>
        <v>0</v>
      </c>
      <c r="Q77" s="12">
        <v>0.0</v>
      </c>
      <c r="R77" s="12">
        <v>0.0</v>
      </c>
      <c r="S77" s="12">
        <v>0.0</v>
      </c>
      <c r="U77" t="str">
        <f>IFERROR(__xludf.DUMMYFUNCTION("IF(D77 = CHAR(10004),QUERY(F77:O77, ""select F, M, N, O""),)"),"RFL-3 Dish Reflector Array")</f>
        <v>RFL-3 Dish Reflector Array</v>
      </c>
      <c r="V77" s="115">
        <f>IFERROR(__xludf.DUMMYFUNCTION("""COMPUTED_VALUE"""),8.5E8)</f>
        <v>850000000</v>
      </c>
      <c r="W77" s="33">
        <f>IFERROR(__xludf.DUMMYFUNCTION("""COMPUTED_VALUE"""),0.0)</f>
        <v>0</v>
      </c>
      <c r="X77">
        <f>IFERROR(__xludf.DUMMYFUNCTION("""COMPUTED_VALUE"""),1.0)</f>
        <v>1</v>
      </c>
    </row>
    <row r="78">
      <c r="D78" s="105" t="str">
        <f t="array" ref="D78">INDEX($A$6:$B156,MATCH(TRUE,EXACT(E78,$A$6:$A156),0),2)</f>
        <v>✔</v>
      </c>
      <c r="E78" s="51" t="s">
        <v>155</v>
      </c>
      <c r="F78" s="12" t="s">
        <v>273</v>
      </c>
      <c r="G78" s="12" t="s">
        <v>274</v>
      </c>
      <c r="H78" s="12">
        <v>1800.0</v>
      </c>
      <c r="I78" s="12">
        <v>0.4</v>
      </c>
      <c r="J78" s="12">
        <v>8.0</v>
      </c>
      <c r="K78" s="12" t="s">
        <v>269</v>
      </c>
      <c r="L78" s="12" t="s">
        <v>154</v>
      </c>
      <c r="M78" s="109">
        <v>9.0E9</v>
      </c>
      <c r="N78" s="110">
        <v>0.0</v>
      </c>
      <c r="O78" s="12">
        <v>1.0</v>
      </c>
      <c r="P78" s="110">
        <f t="shared" si="8"/>
        <v>0</v>
      </c>
      <c r="Q78" s="12">
        <v>0.0</v>
      </c>
      <c r="R78" s="12">
        <v>0.0</v>
      </c>
      <c r="S78" s="12">
        <v>0.0</v>
      </c>
      <c r="U78" t="str">
        <f>IFERROR(__xludf.DUMMYFUNCTION("IF(D78 = CHAR(10004),QUERY(F78:O78, ""select F, M, N, O""),)"),"RFL-50 Large Dish Reflector")</f>
        <v>RFL-50 Large Dish Reflector</v>
      </c>
      <c r="V78" s="115">
        <f>IFERROR(__xludf.DUMMYFUNCTION("""COMPUTED_VALUE"""),9.0E9)</f>
        <v>9000000000</v>
      </c>
      <c r="W78" s="33">
        <f>IFERROR(__xludf.DUMMYFUNCTION("""COMPUTED_VALUE"""),0.0)</f>
        <v>0</v>
      </c>
      <c r="X78">
        <f>IFERROR(__xludf.DUMMYFUNCTION("""COMPUTED_VALUE"""),1.0)</f>
        <v>1</v>
      </c>
    </row>
    <row r="79">
      <c r="D79" s="105" t="str">
        <f t="array" ref="D79">INDEX($A$6:$B156,MATCH(TRUE,EXACT(E79,$A$6:$A156),0),2)</f>
        <v>✔</v>
      </c>
      <c r="E79" s="51" t="s">
        <v>155</v>
      </c>
      <c r="F79" s="12" t="s">
        <v>275</v>
      </c>
      <c r="G79" s="12" t="s">
        <v>276</v>
      </c>
      <c r="H79" s="12">
        <v>2400.0</v>
      </c>
      <c r="I79" s="12">
        <v>0.7</v>
      </c>
      <c r="J79" s="12">
        <v>9.0</v>
      </c>
      <c r="K79" s="12" t="s">
        <v>269</v>
      </c>
      <c r="L79" s="12" t="s">
        <v>154</v>
      </c>
      <c r="M79" s="109">
        <v>1.0E11</v>
      </c>
      <c r="N79" s="110">
        <v>0.0</v>
      </c>
      <c r="O79" s="12">
        <v>1.0</v>
      </c>
      <c r="P79" s="110">
        <f t="shared" si="8"/>
        <v>0</v>
      </c>
      <c r="Q79" s="12">
        <v>0.0</v>
      </c>
      <c r="R79" s="12">
        <v>0.0</v>
      </c>
      <c r="S79" s="12">
        <v>0.0</v>
      </c>
      <c r="U79" t="str">
        <f>IFERROR(__xludf.DUMMYFUNCTION("IF(D79 = CHAR(10004),QUERY(F79:O79, ""select F, M, N, O""),)"),"RFL-100 Giant Dish Reflector")</f>
        <v>RFL-100 Giant Dish Reflector</v>
      </c>
      <c r="V79" s="115">
        <f>IFERROR(__xludf.DUMMYFUNCTION("""COMPUTED_VALUE"""),1.0E11)</f>
        <v>100000000000</v>
      </c>
      <c r="W79" s="33">
        <f>IFERROR(__xludf.DUMMYFUNCTION("""COMPUTED_VALUE"""),0.0)</f>
        <v>0</v>
      </c>
      <c r="X79">
        <f>IFERROR(__xludf.DUMMYFUNCTION("""COMPUTED_VALUE"""),1.0)</f>
        <v>1</v>
      </c>
    </row>
    <row r="80">
      <c r="D80" s="105" t="str">
        <f t="array" ref="D80">INDEX($A$6:$B156,MATCH(TRUE,EXACT(E80,$A$6:$A156),0),2)</f>
        <v>✔</v>
      </c>
      <c r="E80" s="51" t="s">
        <v>155</v>
      </c>
      <c r="F80" s="12" t="s">
        <v>277</v>
      </c>
      <c r="G80" s="12" t="s">
        <v>278</v>
      </c>
      <c r="H80" s="12">
        <v>3600.0</v>
      </c>
      <c r="I80" s="12">
        <v>1.1</v>
      </c>
      <c r="J80" s="12">
        <v>9.0</v>
      </c>
      <c r="K80" s="12" t="s">
        <v>269</v>
      </c>
      <c r="L80" s="12" t="s">
        <v>154</v>
      </c>
      <c r="M80" s="109">
        <v>5.0E12</v>
      </c>
      <c r="N80" s="110">
        <v>0.0</v>
      </c>
      <c r="O80" s="12">
        <v>1.0</v>
      </c>
      <c r="P80" s="110">
        <f t="shared" si="8"/>
        <v>0</v>
      </c>
      <c r="Q80" s="12">
        <v>0.0</v>
      </c>
      <c r="R80" s="12">
        <v>0.0</v>
      </c>
      <c r="S80" s="12">
        <v>0.0</v>
      </c>
      <c r="U80" t="str">
        <f>IFERROR(__xludf.DUMMYFUNCTION("IF(D80 = CHAR(10004),QUERY(F80:O80, ""select F, M, N, O""),)"),"RFL-2000 Dish Reflector Array")</f>
        <v>RFL-2000 Dish Reflector Array</v>
      </c>
      <c r="V80" s="115">
        <f>IFERROR(__xludf.DUMMYFUNCTION("""COMPUTED_VALUE"""),5.0E12)</f>
        <v>5000000000000</v>
      </c>
      <c r="W80" s="33">
        <f>IFERROR(__xludf.DUMMYFUNCTION("""COMPUTED_VALUE"""),0.0)</f>
        <v>0</v>
      </c>
      <c r="X80">
        <f>IFERROR(__xludf.DUMMYFUNCTION("""COMPUTED_VALUE"""),1.0)</f>
        <v>1</v>
      </c>
    </row>
    <row r="81">
      <c r="D81" s="105"/>
      <c r="E81" s="99"/>
      <c r="M81" s="109"/>
      <c r="P81" s="110"/>
    </row>
    <row r="82" hidden="1">
      <c r="D82" s="105"/>
    </row>
    <row r="83" hidden="1">
      <c r="D83" s="105"/>
    </row>
    <row r="84" hidden="1">
      <c r="D84" s="105"/>
    </row>
    <row r="85" hidden="1">
      <c r="D85" s="105"/>
    </row>
    <row r="86" hidden="1">
      <c r="D86" s="105"/>
    </row>
    <row r="87" hidden="1">
      <c r="D87" s="105"/>
    </row>
    <row r="88" hidden="1">
      <c r="D88" s="105"/>
      <c r="E88" s="99"/>
      <c r="M88" s="109"/>
      <c r="P88" s="110"/>
    </row>
    <row r="89" hidden="1">
      <c r="D89" s="105"/>
      <c r="E89" s="99"/>
      <c r="M89" s="109"/>
      <c r="P89" s="110"/>
    </row>
    <row r="90" hidden="1">
      <c r="D90" s="105"/>
      <c r="E90" s="99"/>
      <c r="M90" s="109"/>
      <c r="P90" s="110"/>
    </row>
    <row r="91" hidden="1">
      <c r="D91" s="105"/>
      <c r="E91" s="99"/>
      <c r="M91" s="109"/>
      <c r="P91" s="110"/>
    </row>
    <row r="92" hidden="1">
      <c r="D92" s="105"/>
      <c r="E92" s="99"/>
      <c r="M92" s="109"/>
      <c r="P92" s="110"/>
    </row>
    <row r="93" hidden="1">
      <c r="D93" s="105"/>
      <c r="E93" s="99"/>
      <c r="M93" s="109"/>
      <c r="P93" s="110"/>
    </row>
    <row r="94" hidden="1">
      <c r="D94" s="105"/>
      <c r="E94" s="99"/>
      <c r="M94" s="109"/>
      <c r="P94" s="110"/>
    </row>
    <row r="95" hidden="1">
      <c r="D95" s="105"/>
      <c r="E95" s="99"/>
      <c r="M95" s="109"/>
      <c r="P95" s="110"/>
    </row>
    <row r="96" hidden="1">
      <c r="D96" s="105"/>
      <c r="E96" s="99"/>
      <c r="M96" s="109"/>
      <c r="P96" s="110"/>
    </row>
    <row r="97" hidden="1">
      <c r="D97" s="105"/>
      <c r="E97" s="99"/>
      <c r="M97" s="109"/>
      <c r="P97" s="110"/>
    </row>
    <row r="98" hidden="1">
      <c r="D98" s="105"/>
      <c r="E98" s="99"/>
      <c r="M98" s="109"/>
      <c r="P98" s="110"/>
    </row>
    <row r="99" hidden="1">
      <c r="D99" s="105"/>
      <c r="E99" s="99"/>
      <c r="M99" s="109"/>
      <c r="P99" s="110"/>
    </row>
    <row r="100" hidden="1">
      <c r="D100" s="105"/>
      <c r="E100" s="99"/>
      <c r="M100" s="109"/>
      <c r="P100" s="110"/>
    </row>
    <row r="101" hidden="1">
      <c r="D101" s="105"/>
      <c r="E101" s="99"/>
      <c r="M101" s="109"/>
      <c r="P101" s="110"/>
    </row>
    <row r="102" hidden="1">
      <c r="D102" s="105"/>
      <c r="E102" s="99"/>
      <c r="M102" s="109"/>
      <c r="P102" s="110"/>
    </row>
    <row r="103" hidden="1">
      <c r="D103" s="105"/>
      <c r="E103" s="99"/>
      <c r="M103" s="109"/>
      <c r="P103" s="110"/>
    </row>
    <row r="104" hidden="1">
      <c r="D104" s="105"/>
      <c r="E104" s="99"/>
      <c r="M104" s="109"/>
      <c r="P104" s="110"/>
    </row>
    <row r="105" hidden="1">
      <c r="D105" s="105"/>
      <c r="E105" s="99"/>
      <c r="M105" s="109"/>
      <c r="P105" s="110"/>
    </row>
    <row r="106" hidden="1">
      <c r="D106" s="105"/>
      <c r="E106" s="99"/>
      <c r="M106" s="109"/>
      <c r="P106" s="110"/>
    </row>
    <row r="107" hidden="1">
      <c r="D107" s="105"/>
      <c r="E107" s="99"/>
      <c r="M107" s="109"/>
      <c r="P107" s="110"/>
    </row>
    <row r="108" hidden="1">
      <c r="D108" s="105"/>
      <c r="E108" s="99"/>
      <c r="M108" s="109"/>
      <c r="P108" s="110"/>
    </row>
    <row r="109" hidden="1">
      <c r="D109" s="105"/>
      <c r="E109" s="99"/>
      <c r="M109" s="109"/>
      <c r="P109" s="110"/>
    </row>
    <row r="110" hidden="1">
      <c r="D110" s="105"/>
      <c r="E110" s="99"/>
      <c r="M110" s="109"/>
      <c r="P110" s="110"/>
    </row>
    <row r="111" hidden="1">
      <c r="D111" s="105"/>
      <c r="E111" s="99"/>
      <c r="M111" s="109"/>
      <c r="P111" s="110"/>
    </row>
    <row r="112" hidden="1">
      <c r="D112" s="105"/>
      <c r="E112" s="99"/>
      <c r="M112" s="109"/>
      <c r="P112" s="110"/>
    </row>
    <row r="113" hidden="1">
      <c r="D113" s="105"/>
      <c r="E113" s="99"/>
      <c r="M113" s="109"/>
      <c r="P113" s="110"/>
    </row>
    <row r="114" hidden="1">
      <c r="D114" s="105"/>
      <c r="E114" s="99"/>
      <c r="M114" s="109"/>
      <c r="P114" s="110"/>
    </row>
    <row r="115" hidden="1">
      <c r="D115" s="105"/>
      <c r="E115" s="99"/>
      <c r="M115" s="109"/>
      <c r="P115" s="110"/>
    </row>
    <row r="116" hidden="1">
      <c r="D116" s="105"/>
      <c r="E116" s="99"/>
      <c r="M116" s="109"/>
      <c r="P116" s="110"/>
    </row>
    <row r="117" hidden="1">
      <c r="D117" s="105"/>
      <c r="E117" s="99"/>
      <c r="M117" s="109"/>
      <c r="P117" s="110"/>
    </row>
    <row r="118" hidden="1">
      <c r="D118" s="105"/>
      <c r="E118" s="99"/>
      <c r="M118" s="109"/>
      <c r="P118" s="110"/>
    </row>
    <row r="119" hidden="1">
      <c r="D119" s="105"/>
      <c r="E119" s="99"/>
      <c r="M119" s="109"/>
      <c r="P119" s="110"/>
    </row>
    <row r="120" hidden="1">
      <c r="D120" s="105"/>
      <c r="E120" s="99"/>
      <c r="M120" s="109"/>
      <c r="P120" s="110"/>
    </row>
    <row r="121" hidden="1">
      <c r="D121" s="105"/>
      <c r="E121" s="99"/>
      <c r="M121" s="109"/>
      <c r="P121" s="110"/>
    </row>
    <row r="122" hidden="1">
      <c r="D122" s="105"/>
      <c r="E122" s="99"/>
      <c r="M122" s="109"/>
      <c r="P122" s="110"/>
    </row>
    <row r="123" hidden="1">
      <c r="D123" s="105"/>
      <c r="E123" s="99"/>
      <c r="M123" s="109"/>
      <c r="P123" s="110"/>
    </row>
    <row r="124" hidden="1">
      <c r="D124" s="105"/>
      <c r="E124" s="99"/>
      <c r="M124" s="109"/>
      <c r="P124" s="110"/>
    </row>
    <row r="125" hidden="1">
      <c r="D125" s="105"/>
      <c r="E125" s="99"/>
      <c r="M125" s="109"/>
      <c r="P125" s="110"/>
    </row>
    <row r="126" hidden="1">
      <c r="D126" s="105"/>
      <c r="E126" s="99"/>
      <c r="M126" s="109"/>
      <c r="P126" s="110"/>
    </row>
    <row r="127" hidden="1">
      <c r="D127" s="105"/>
      <c r="E127" s="99"/>
      <c r="M127" s="109"/>
      <c r="P127" s="110"/>
    </row>
    <row r="128" hidden="1">
      <c r="D128" s="105"/>
      <c r="E128" s="99"/>
      <c r="M128" s="109"/>
      <c r="P128" s="110"/>
    </row>
    <row r="129" hidden="1">
      <c r="D129" s="105"/>
      <c r="E129" s="99"/>
      <c r="M129" s="109"/>
      <c r="P129" s="110"/>
    </row>
    <row r="130" hidden="1">
      <c r="D130" s="105"/>
      <c r="E130" s="99"/>
      <c r="M130" s="109"/>
      <c r="P130" s="110"/>
    </row>
    <row r="131" hidden="1">
      <c r="D131" s="105"/>
      <c r="E131" s="99"/>
      <c r="M131" s="109"/>
      <c r="P131" s="110"/>
    </row>
    <row r="132" hidden="1">
      <c r="D132" s="105"/>
      <c r="E132" s="99"/>
      <c r="M132" s="109"/>
      <c r="P132" s="110"/>
    </row>
    <row r="133" hidden="1">
      <c r="D133" s="105"/>
      <c r="E133" s="99"/>
      <c r="M133" s="109"/>
      <c r="P133" s="110"/>
    </row>
    <row r="134" hidden="1">
      <c r="D134" s="105"/>
      <c r="E134" s="99"/>
      <c r="M134" s="109"/>
      <c r="P134" s="110"/>
    </row>
    <row r="135" hidden="1">
      <c r="D135" s="105"/>
      <c r="E135" s="99"/>
      <c r="M135" s="109"/>
      <c r="P135" s="110"/>
    </row>
    <row r="136" hidden="1">
      <c r="D136" s="105"/>
      <c r="E136" s="99"/>
      <c r="M136" s="109"/>
      <c r="P136" s="110"/>
    </row>
    <row r="137" hidden="1">
      <c r="D137" s="105"/>
      <c r="E137" s="99"/>
      <c r="M137" s="109"/>
      <c r="P137" s="110"/>
    </row>
    <row r="138" hidden="1">
      <c r="D138" s="105"/>
      <c r="E138" s="99"/>
      <c r="M138" s="109"/>
      <c r="P138" s="110"/>
    </row>
    <row r="139" hidden="1">
      <c r="D139" s="105"/>
      <c r="E139" s="99"/>
      <c r="M139" s="109"/>
      <c r="P139" s="110"/>
    </row>
    <row r="140" hidden="1">
      <c r="D140" s="105"/>
      <c r="E140" s="99"/>
      <c r="M140" s="109"/>
      <c r="P140" s="110"/>
    </row>
    <row r="141" hidden="1">
      <c r="D141" s="105"/>
      <c r="E141" s="99"/>
      <c r="M141" s="109"/>
      <c r="P141" s="110"/>
    </row>
    <row r="142" hidden="1">
      <c r="D142" s="105"/>
      <c r="E142" s="99"/>
      <c r="M142" s="109"/>
      <c r="P142" s="110"/>
    </row>
    <row r="143" hidden="1">
      <c r="D143" s="105"/>
      <c r="E143" s="99"/>
      <c r="M143" s="109"/>
      <c r="P143" s="110"/>
    </row>
    <row r="144" hidden="1">
      <c r="D144" s="105"/>
      <c r="E144" s="99"/>
      <c r="M144" s="109"/>
      <c r="P144" s="110"/>
    </row>
    <row r="145" hidden="1">
      <c r="D145" s="105"/>
      <c r="E145" s="99"/>
      <c r="M145" s="109"/>
      <c r="P145" s="110"/>
    </row>
    <row r="146" hidden="1">
      <c r="D146" s="105"/>
      <c r="E146" s="99"/>
      <c r="M146" s="109"/>
      <c r="P146" s="110"/>
    </row>
    <row r="147" hidden="1">
      <c r="D147" s="105"/>
      <c r="E147" s="99"/>
      <c r="M147" s="109"/>
      <c r="P147" s="110"/>
    </row>
    <row r="148" hidden="1">
      <c r="D148" s="105"/>
      <c r="E148" s="99"/>
      <c r="M148" s="109"/>
      <c r="P148" s="110"/>
    </row>
    <row r="149" hidden="1">
      <c r="D149" s="105"/>
      <c r="E149" s="99"/>
      <c r="M149" s="109"/>
      <c r="P149" s="110"/>
    </row>
    <row r="150" hidden="1">
      <c r="D150" s="105"/>
      <c r="E150" s="99"/>
      <c r="M150" s="109"/>
      <c r="P150" s="110"/>
    </row>
    <row r="151" hidden="1">
      <c r="D151" s="105"/>
      <c r="E151" s="99"/>
      <c r="M151" s="109"/>
      <c r="P151" s="110"/>
    </row>
    <row r="152" hidden="1">
      <c r="D152" s="105"/>
      <c r="E152" s="99"/>
      <c r="M152" s="109"/>
      <c r="P152" s="110"/>
    </row>
    <row r="153" hidden="1">
      <c r="D153" s="105"/>
      <c r="E153" s="99"/>
      <c r="M153" s="109"/>
      <c r="P153" s="110"/>
    </row>
    <row r="154" hidden="1">
      <c r="D154" s="105"/>
      <c r="E154" s="99"/>
      <c r="M154" s="109"/>
      <c r="P154" s="110"/>
    </row>
    <row r="155" hidden="1">
      <c r="D155" s="105"/>
      <c r="E155" s="99"/>
      <c r="M155" s="109"/>
      <c r="P155" s="110"/>
    </row>
    <row r="156" hidden="1">
      <c r="D156" s="105"/>
      <c r="E156" s="99"/>
      <c r="M156" s="109"/>
      <c r="P156" s="110"/>
    </row>
  </sheetData>
  <dataValidations>
    <dataValidation type="list" allowBlank="1" showErrorMessage="1" sqref="B6:B13">
      <formula1>Antennas!$U$1:$U$2</formula1>
    </dataValidation>
  </dataValidations>
  <hyperlinks>
    <hyperlink r:id="rId1" ref="O1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7.13"/>
    <col customWidth="1" min="4" max="4" width="12.88"/>
    <col customWidth="1" min="5" max="5" width="13.5"/>
    <col customWidth="1" min="6" max="6" width="12.88"/>
    <col customWidth="1" min="7" max="7" width="21.5"/>
    <col customWidth="1" min="8" max="8" width="20.88"/>
    <col customWidth="1" min="9" max="9" width="16.63"/>
    <col customWidth="1" min="10" max="10" width="12.75"/>
    <col customWidth="1" min="11" max="11" width="11.88"/>
    <col customWidth="1" min="12" max="12" width="13.63"/>
    <col customWidth="1" min="13" max="13" width="13.25"/>
    <col customWidth="1" min="14" max="14" width="13.13"/>
    <col customWidth="1" min="15" max="15" width="18.0"/>
  </cols>
  <sheetData>
    <row r="1">
      <c r="A1" s="136" t="s">
        <v>279</v>
      </c>
      <c r="B1" s="99"/>
      <c r="C1" s="137"/>
      <c r="D1" s="137"/>
      <c r="E1" s="138">
        <f>'Antenna Selector'!$Q$5</f>
        <v>1</v>
      </c>
      <c r="F1" s="139" t="s">
        <v>280</v>
      </c>
      <c r="G1" s="140"/>
      <c r="H1" s="140"/>
      <c r="I1" s="137"/>
      <c r="J1" s="137"/>
      <c r="K1" s="137"/>
      <c r="L1" s="137"/>
      <c r="M1" s="137"/>
      <c r="N1" s="137"/>
      <c r="O1" s="141"/>
      <c r="P1" s="137"/>
      <c r="Q1" s="137"/>
      <c r="R1" s="142"/>
      <c r="S1" s="142"/>
      <c r="T1" s="142"/>
      <c r="U1" s="142"/>
      <c r="V1" s="142"/>
      <c r="W1" s="142"/>
      <c r="X1" s="142"/>
      <c r="Y1" s="142"/>
      <c r="Z1" s="142"/>
      <c r="AA1" s="142"/>
    </row>
    <row r="2">
      <c r="A2" s="143"/>
      <c r="B2" s="99"/>
      <c r="C2" s="137"/>
      <c r="D2" s="137"/>
      <c r="E2" s="137"/>
      <c r="F2" s="137"/>
      <c r="G2" s="140"/>
      <c r="H2" s="140"/>
      <c r="I2" s="137"/>
      <c r="J2" s="137"/>
      <c r="K2" s="137"/>
      <c r="L2" s="137"/>
      <c r="M2" s="137"/>
      <c r="N2" s="137"/>
      <c r="O2" s="141"/>
      <c r="P2" s="137"/>
      <c r="Q2" s="137"/>
      <c r="R2" s="142"/>
      <c r="S2" s="142"/>
      <c r="T2" s="142"/>
      <c r="U2" s="142"/>
      <c r="V2" s="142"/>
      <c r="W2" s="142"/>
      <c r="X2" s="142"/>
      <c r="Y2" s="142"/>
      <c r="Z2" s="142"/>
      <c r="AA2" s="142"/>
    </row>
    <row r="3">
      <c r="A3" s="143" t="s">
        <v>281</v>
      </c>
      <c r="B3" s="99"/>
      <c r="C3" s="137"/>
      <c r="D3" s="137"/>
      <c r="E3" s="137"/>
      <c r="F3" s="137"/>
      <c r="G3" s="144" t="s">
        <v>282</v>
      </c>
      <c r="I3" s="137"/>
      <c r="J3" s="137"/>
      <c r="K3" s="137"/>
      <c r="L3" s="137"/>
      <c r="M3" s="137"/>
      <c r="N3" s="137"/>
      <c r="O3" s="141"/>
      <c r="P3" s="137"/>
      <c r="Q3" s="137"/>
      <c r="R3" s="142"/>
      <c r="S3" s="142"/>
      <c r="T3" s="142"/>
      <c r="U3" s="142"/>
      <c r="V3" s="142"/>
      <c r="W3" s="142"/>
      <c r="X3" s="142"/>
      <c r="Y3" s="142"/>
      <c r="Z3" s="142"/>
      <c r="AA3" s="142"/>
    </row>
    <row r="4" ht="33.0" customHeight="1">
      <c r="A4" s="137"/>
      <c r="B4" s="137"/>
      <c r="C4" s="137"/>
      <c r="D4" s="140" t="s">
        <v>283</v>
      </c>
      <c r="E4" s="140" t="s">
        <v>284</v>
      </c>
      <c r="F4" s="140" t="s">
        <v>285</v>
      </c>
      <c r="G4" s="140" t="s">
        <v>286</v>
      </c>
      <c r="H4" s="140" t="s">
        <v>287</v>
      </c>
      <c r="I4" s="145" t="s">
        <v>288</v>
      </c>
      <c r="J4" s="140" t="s">
        <v>289</v>
      </c>
      <c r="K4" s="140" t="s">
        <v>290</v>
      </c>
      <c r="L4" s="140" t="s">
        <v>291</v>
      </c>
      <c r="M4" s="140" t="s">
        <v>292</v>
      </c>
      <c r="N4" s="140" t="s">
        <v>293</v>
      </c>
      <c r="O4" s="146" t="s">
        <v>294</v>
      </c>
      <c r="P4" s="137"/>
      <c r="Q4" s="137"/>
      <c r="R4" s="142"/>
      <c r="S4" s="142"/>
      <c r="T4" s="142"/>
      <c r="U4" s="142"/>
      <c r="V4" s="142"/>
      <c r="W4" s="142"/>
      <c r="X4" s="142"/>
      <c r="Y4" s="142"/>
      <c r="Z4" s="142"/>
      <c r="AA4" s="142"/>
    </row>
    <row r="5">
      <c r="A5" s="147"/>
      <c r="B5" s="147" t="s">
        <v>23</v>
      </c>
      <c r="C5" s="148"/>
      <c r="D5" s="149">
        <f t="shared" ref="D5:D20" si="1">E5*(1-J5)</f>
        <v>4210510628</v>
      </c>
      <c r="E5" s="149">
        <f>'Antenna Selector'!$Q$5*5263138304</f>
        <v>5263138304</v>
      </c>
      <c r="F5" s="149">
        <f t="shared" ref="F5:F20" si="2">E5*(1+J5)</f>
        <v>6315765980</v>
      </c>
      <c r="G5" s="149">
        <f>E58*'Antenna Selector'!$Q$5</f>
        <v>7289385437</v>
      </c>
      <c r="H5" s="149">
        <f>E44*'Antenna Selector'!$Q$5</f>
        <v>19913538689</v>
      </c>
      <c r="I5" s="150"/>
      <c r="J5" s="151">
        <v>0.200000002980232</v>
      </c>
      <c r="K5" s="152">
        <v>7.0</v>
      </c>
      <c r="L5" s="152">
        <f t="shared" ref="L5:L20" si="3">RADIANS(K5)</f>
        <v>0.1221730476</v>
      </c>
      <c r="M5" s="151">
        <v>15.0</v>
      </c>
      <c r="N5" s="152">
        <f t="shared" ref="N5:N20" si="4">RADIANS(M5)</f>
        <v>0.2617993878</v>
      </c>
      <c r="O5" s="153">
        <f>(asin(L5)*F5)*((2*N5)/pi())</f>
        <v>128924824</v>
      </c>
      <c r="P5" s="148"/>
      <c r="Q5" s="148"/>
      <c r="R5" s="154"/>
      <c r="S5" s="154"/>
      <c r="T5" s="154"/>
      <c r="U5" s="154"/>
      <c r="V5" s="154"/>
      <c r="W5" s="154"/>
      <c r="X5" s="154"/>
      <c r="Y5" s="154"/>
      <c r="Z5" s="154"/>
      <c r="AA5" s="154"/>
    </row>
    <row r="6">
      <c r="A6" s="147"/>
      <c r="B6" s="147" t="s">
        <v>26</v>
      </c>
      <c r="C6" s="148"/>
      <c r="D6" s="149">
        <f t="shared" si="1"/>
        <v>9734357701</v>
      </c>
      <c r="E6" s="149">
        <f>'Antenna Selector'!$Q$5*9832684544</f>
        <v>9832684544</v>
      </c>
      <c r="F6" s="149">
        <f t="shared" si="2"/>
        <v>9931011387</v>
      </c>
      <c r="G6" s="149">
        <f>E59*'Antenna Selector'!$Q$5</f>
        <v>3668828971</v>
      </c>
      <c r="H6" s="149">
        <f>E45*'Antenna Selector'!$Q$5</f>
        <v>23530851543</v>
      </c>
      <c r="I6" s="150"/>
      <c r="J6" s="151">
        <v>0.00999999977648258</v>
      </c>
      <c r="K6" s="151">
        <v>2.09999990463257</v>
      </c>
      <c r="L6" s="152">
        <f t="shared" si="3"/>
        <v>0.03665191263</v>
      </c>
      <c r="M6" s="151">
        <v>0.0</v>
      </c>
      <c r="N6" s="152">
        <f t="shared" si="4"/>
        <v>0</v>
      </c>
      <c r="O6" s="155"/>
      <c r="P6" s="148"/>
      <c r="Q6" s="148"/>
      <c r="R6" s="154"/>
      <c r="S6" s="154"/>
      <c r="T6" s="154"/>
      <c r="U6" s="154"/>
      <c r="V6" s="154"/>
      <c r="W6" s="154"/>
      <c r="X6" s="154"/>
      <c r="Y6" s="154"/>
      <c r="Z6" s="154"/>
      <c r="AA6" s="154"/>
    </row>
    <row r="7">
      <c r="A7" s="148"/>
      <c r="B7" s="148"/>
      <c r="C7" s="156" t="s">
        <v>295</v>
      </c>
      <c r="D7" s="149">
        <f t="shared" si="1"/>
        <v>14174999.62</v>
      </c>
      <c r="E7" s="149">
        <f>'Antenna Selector'!$Q$5*31500000</f>
        <v>31500000</v>
      </c>
      <c r="F7" s="149">
        <f t="shared" si="2"/>
        <v>48825000.38</v>
      </c>
      <c r="G7" s="150"/>
      <c r="H7" s="149">
        <f>H6+I7</f>
        <v>23579676543</v>
      </c>
      <c r="I7" s="149">
        <f>F7</f>
        <v>48825000.38</v>
      </c>
      <c r="J7" s="151">
        <v>0.550000011920929</v>
      </c>
      <c r="K7" s="151">
        <v>12.0</v>
      </c>
      <c r="L7" s="152">
        <f t="shared" si="3"/>
        <v>0.2094395102</v>
      </c>
      <c r="M7" s="151">
        <v>10.0</v>
      </c>
      <c r="N7" s="152">
        <f t="shared" si="4"/>
        <v>0.1745329252</v>
      </c>
      <c r="O7" s="153">
        <f>(asin(L7)*F7)*((2*N7)/pi())</f>
        <v>1144684.351</v>
      </c>
      <c r="P7" s="148"/>
      <c r="Q7" s="148"/>
      <c r="R7" s="154"/>
      <c r="S7" s="154"/>
      <c r="T7" s="154"/>
      <c r="U7" s="154"/>
      <c r="V7" s="154"/>
      <c r="W7" s="154"/>
      <c r="X7" s="154"/>
      <c r="Y7" s="154"/>
      <c r="Z7" s="154"/>
      <c r="AA7" s="154"/>
    </row>
    <row r="8">
      <c r="A8" s="147"/>
      <c r="B8" s="147" t="s">
        <v>54</v>
      </c>
      <c r="C8" s="148"/>
      <c r="D8" s="149">
        <f t="shared" si="1"/>
        <v>13599840256</v>
      </c>
      <c r="E8" s="149">
        <f>'Antenna Selector'!$Q$5*13599840256</f>
        <v>13599840256</v>
      </c>
      <c r="F8" s="149">
        <f t="shared" si="2"/>
        <v>13599840256</v>
      </c>
      <c r="G8" s="150">
        <v>0.0</v>
      </c>
      <c r="H8" s="150">
        <v>0.0</v>
      </c>
      <c r="I8" s="150"/>
      <c r="J8" s="151">
        <v>0.0</v>
      </c>
      <c r="K8" s="151">
        <v>0.0</v>
      </c>
      <c r="L8" s="152">
        <f t="shared" si="3"/>
        <v>0</v>
      </c>
      <c r="M8" s="151">
        <v>0.0</v>
      </c>
      <c r="N8" s="152">
        <f t="shared" si="4"/>
        <v>0</v>
      </c>
      <c r="O8" s="155"/>
      <c r="P8" s="148"/>
      <c r="Q8" s="148"/>
      <c r="R8" s="154"/>
      <c r="S8" s="154"/>
      <c r="T8" s="154"/>
      <c r="U8" s="154"/>
      <c r="V8" s="154"/>
      <c r="W8" s="154"/>
      <c r="X8" s="154"/>
      <c r="Y8" s="154"/>
      <c r="Z8" s="154"/>
      <c r="AA8" s="154"/>
    </row>
    <row r="9">
      <c r="A9" s="148"/>
      <c r="B9" s="148"/>
      <c r="C9" s="156" t="s">
        <v>34</v>
      </c>
      <c r="D9" s="149">
        <f t="shared" si="1"/>
        <v>12000000</v>
      </c>
      <c r="E9" s="149">
        <f>'Antenna Selector'!$Q$5*12000000</f>
        <v>12000000</v>
      </c>
      <c r="F9" s="149">
        <f t="shared" si="2"/>
        <v>12000000</v>
      </c>
      <c r="G9" s="150"/>
      <c r="H9" s="149">
        <f t="shared" ref="H9:H10" si="5">F9</f>
        <v>12000000</v>
      </c>
      <c r="I9" s="149">
        <f t="shared" ref="I9:I10" si="6">F9</f>
        <v>12000000</v>
      </c>
      <c r="J9" s="151">
        <v>0.0</v>
      </c>
      <c r="K9" s="151">
        <v>0.0</v>
      </c>
      <c r="L9" s="152">
        <f t="shared" si="3"/>
        <v>0</v>
      </c>
      <c r="M9" s="151">
        <v>0.0</v>
      </c>
      <c r="N9" s="152">
        <f t="shared" si="4"/>
        <v>0</v>
      </c>
      <c r="O9" s="155"/>
      <c r="P9" s="148"/>
      <c r="Q9" s="148"/>
      <c r="R9" s="154"/>
      <c r="S9" s="154"/>
      <c r="T9" s="154"/>
      <c r="U9" s="154"/>
      <c r="V9" s="154"/>
      <c r="W9" s="154"/>
      <c r="X9" s="154"/>
      <c r="Y9" s="154"/>
      <c r="Z9" s="154"/>
      <c r="AA9" s="154"/>
    </row>
    <row r="10">
      <c r="A10" s="148"/>
      <c r="B10" s="148"/>
      <c r="C10" s="156" t="s">
        <v>39</v>
      </c>
      <c r="D10" s="149">
        <f t="shared" si="1"/>
        <v>47000000</v>
      </c>
      <c r="E10" s="149">
        <f>'Antenna Selector'!$Q$5*47000000</f>
        <v>47000000</v>
      </c>
      <c r="F10" s="149">
        <f t="shared" si="2"/>
        <v>47000000</v>
      </c>
      <c r="G10" s="150"/>
      <c r="H10" s="149">
        <f t="shared" si="5"/>
        <v>47000000</v>
      </c>
      <c r="I10" s="149">
        <f t="shared" si="6"/>
        <v>47000000</v>
      </c>
      <c r="J10" s="151">
        <v>0.0</v>
      </c>
      <c r="K10" s="151">
        <v>6.0</v>
      </c>
      <c r="L10" s="152">
        <f t="shared" si="3"/>
        <v>0.1047197551</v>
      </c>
      <c r="M10" s="151">
        <v>38.0</v>
      </c>
      <c r="N10" s="152">
        <f t="shared" si="4"/>
        <v>0.6632251158</v>
      </c>
      <c r="O10" s="153">
        <f>(asin(L10)*F10)*((2*N10)/pi())</f>
        <v>2081922.392</v>
      </c>
      <c r="P10" s="148"/>
      <c r="Q10" s="148"/>
      <c r="R10" s="154"/>
      <c r="S10" s="154"/>
      <c r="T10" s="154"/>
      <c r="U10" s="154"/>
      <c r="V10" s="154"/>
      <c r="W10" s="154"/>
      <c r="X10" s="154"/>
      <c r="Y10" s="154"/>
      <c r="Z10" s="154"/>
      <c r="AA10" s="154"/>
    </row>
    <row r="11">
      <c r="A11" s="147"/>
      <c r="B11" s="147" t="s">
        <v>42</v>
      </c>
      <c r="C11" s="148"/>
      <c r="D11" s="149">
        <f t="shared" si="1"/>
        <v>19669121460</v>
      </c>
      <c r="E11" s="149">
        <f>'Antenna Selector'!$Q$5*20726155364</f>
        <v>20726155364</v>
      </c>
      <c r="F11" s="149">
        <f t="shared" si="2"/>
        <v>21783189268</v>
      </c>
      <c r="G11" s="149">
        <f>E61*'Antenna Selector'!$Q$5</f>
        <v>6069283350</v>
      </c>
      <c r="H11" s="149">
        <f>E47*'Antenna Selector'!$Q$5</f>
        <v>35383028257</v>
      </c>
      <c r="I11" s="150"/>
      <c r="J11" s="151">
        <v>0.0509999990463257</v>
      </c>
      <c r="K11" s="151">
        <v>0.0599999986588955</v>
      </c>
      <c r="L11" s="152">
        <f t="shared" si="3"/>
        <v>0.001047197528</v>
      </c>
      <c r="M11" s="151">
        <v>0.0</v>
      </c>
      <c r="N11" s="152">
        <f t="shared" si="4"/>
        <v>0</v>
      </c>
      <c r="O11" s="155"/>
      <c r="P11" s="148"/>
      <c r="Q11" s="148"/>
      <c r="R11" s="154"/>
      <c r="S11" s="154"/>
      <c r="T11" s="154"/>
      <c r="U11" s="154"/>
      <c r="V11" s="154"/>
      <c r="W11" s="154"/>
      <c r="X11" s="154"/>
      <c r="Y11" s="154"/>
      <c r="Z11" s="154"/>
      <c r="AA11" s="154"/>
    </row>
    <row r="12">
      <c r="A12" s="148"/>
      <c r="B12" s="148"/>
      <c r="C12" s="156" t="s">
        <v>296</v>
      </c>
      <c r="D12" s="149">
        <f t="shared" si="1"/>
        <v>3104000.002</v>
      </c>
      <c r="E12" s="149">
        <f>'Antenna Selector'!$Q$5*3200000</f>
        <v>3200000</v>
      </c>
      <c r="F12" s="149">
        <f t="shared" si="2"/>
        <v>3295999.998</v>
      </c>
      <c r="G12" s="150"/>
      <c r="H12" s="149">
        <f>H11+F12</f>
        <v>35386324257</v>
      </c>
      <c r="I12" s="149">
        <f>F12</f>
        <v>3295999.998</v>
      </c>
      <c r="J12" s="151">
        <v>0.0299999993294477</v>
      </c>
      <c r="K12" s="151">
        <v>0.200000002980232</v>
      </c>
      <c r="L12" s="152">
        <f t="shared" si="3"/>
        <v>0.003490658556</v>
      </c>
      <c r="M12" s="151">
        <v>0.0</v>
      </c>
      <c r="N12" s="152">
        <f t="shared" si="4"/>
        <v>0</v>
      </c>
      <c r="O12" s="155"/>
      <c r="P12" s="148"/>
      <c r="Q12" s="148"/>
      <c r="R12" s="154"/>
      <c r="S12" s="154"/>
      <c r="T12" s="154"/>
      <c r="U12" s="154"/>
      <c r="V12" s="154"/>
      <c r="W12" s="154"/>
      <c r="X12" s="154"/>
      <c r="Y12" s="154"/>
      <c r="Z12" s="154"/>
      <c r="AA12" s="154"/>
    </row>
    <row r="13">
      <c r="A13" s="147"/>
      <c r="B13" s="147" t="s">
        <v>49</v>
      </c>
      <c r="C13" s="148"/>
      <c r="D13" s="149">
        <f t="shared" si="1"/>
        <v>34917642714</v>
      </c>
      <c r="E13" s="149">
        <f>'Antenna Selector'!$Q$5*40839348203</f>
        <v>40839348203</v>
      </c>
      <c r="F13" s="149">
        <f t="shared" si="2"/>
        <v>46761053692</v>
      </c>
      <c r="G13" s="149">
        <f>E62*'Antenna Selector'!$Q$5</f>
        <v>21402401940</v>
      </c>
      <c r="H13" s="149">
        <f>E48*'Antenna Selector'!$Q$5</f>
        <v>60320789167</v>
      </c>
      <c r="I13" s="150"/>
      <c r="J13" s="151">
        <v>0.145</v>
      </c>
      <c r="K13" s="151">
        <v>5.0</v>
      </c>
      <c r="L13" s="152">
        <f t="shared" si="3"/>
        <v>0.0872664626</v>
      </c>
      <c r="M13" s="151">
        <v>90.0</v>
      </c>
      <c r="N13" s="152">
        <f t="shared" si="4"/>
        <v>1.570796327</v>
      </c>
      <c r="O13" s="153">
        <f>(asin(L13)*F13)*((2*N13)/pi())</f>
        <v>4085868922</v>
      </c>
      <c r="P13" s="148"/>
      <c r="Q13" s="148"/>
      <c r="R13" s="154"/>
      <c r="S13" s="154"/>
      <c r="T13" s="154"/>
      <c r="U13" s="154"/>
      <c r="V13" s="154"/>
      <c r="W13" s="154"/>
      <c r="X13" s="154"/>
      <c r="Y13" s="154"/>
      <c r="Z13" s="154"/>
      <c r="AA13" s="154"/>
    </row>
    <row r="14">
      <c r="A14" s="147"/>
      <c r="B14" s="147" t="s">
        <v>53</v>
      </c>
      <c r="C14" s="148"/>
      <c r="D14" s="149">
        <f t="shared" si="1"/>
        <v>65334882253</v>
      </c>
      <c r="E14" s="149">
        <f>'Antenna Selector'!$Q$5*68773560320</f>
        <v>68773560320</v>
      </c>
      <c r="F14" s="149">
        <f t="shared" si="2"/>
        <v>72212238387</v>
      </c>
      <c r="G14" s="149">
        <f>E63*'Antenna Selector'!$Q$5</f>
        <v>51735042066</v>
      </c>
      <c r="H14" s="149">
        <f>E49*'Antenna Selector'!$Q$5</f>
        <v>85812077664</v>
      </c>
      <c r="I14" s="150"/>
      <c r="J14" s="151">
        <v>0.0500000007450581</v>
      </c>
      <c r="K14" s="151">
        <v>1.30400002002716</v>
      </c>
      <c r="L14" s="152">
        <f t="shared" si="3"/>
        <v>0.0227590938</v>
      </c>
      <c r="M14" s="151">
        <v>0.0</v>
      </c>
      <c r="N14" s="152">
        <f t="shared" si="4"/>
        <v>0</v>
      </c>
      <c r="O14" s="155"/>
      <c r="P14" s="148"/>
      <c r="Q14" s="148"/>
      <c r="R14" s="154"/>
      <c r="S14" s="154"/>
      <c r="T14" s="154"/>
      <c r="U14" s="154"/>
      <c r="V14" s="154"/>
      <c r="W14" s="154"/>
      <c r="X14" s="154"/>
      <c r="Y14" s="154"/>
      <c r="Z14" s="154"/>
      <c r="AA14" s="154"/>
    </row>
    <row r="15">
      <c r="A15" s="148"/>
      <c r="B15" s="148"/>
      <c r="C15" s="156" t="s">
        <v>297</v>
      </c>
      <c r="D15" s="149">
        <f t="shared" si="1"/>
        <v>27184000</v>
      </c>
      <c r="E15" s="149">
        <f>'Antenna Selector'!$Q$5*27184000</f>
        <v>27184000</v>
      </c>
      <c r="F15" s="149">
        <f t="shared" si="2"/>
        <v>27184000</v>
      </c>
      <c r="G15" s="150"/>
      <c r="H15" s="149">
        <f>H14+I15</f>
        <v>85839261664</v>
      </c>
      <c r="I15" s="149">
        <f t="shared" ref="I15:I19" si="7">F15</f>
        <v>27184000</v>
      </c>
      <c r="J15" s="151">
        <v>0.0</v>
      </c>
      <c r="K15" s="151">
        <v>0.0</v>
      </c>
      <c r="L15" s="152">
        <f t="shared" si="3"/>
        <v>0</v>
      </c>
      <c r="M15" s="151">
        <v>0.0</v>
      </c>
      <c r="N15" s="152">
        <f t="shared" si="4"/>
        <v>0</v>
      </c>
      <c r="O15" s="155"/>
      <c r="P15" s="148"/>
      <c r="Q15" s="148"/>
      <c r="R15" s="154"/>
      <c r="S15" s="154"/>
      <c r="T15" s="154"/>
      <c r="U15" s="154"/>
      <c r="V15" s="154"/>
      <c r="W15" s="154"/>
      <c r="X15" s="154"/>
      <c r="Y15" s="154"/>
      <c r="Z15" s="154"/>
      <c r="AA15" s="154"/>
    </row>
    <row r="16">
      <c r="A16" s="148"/>
      <c r="B16" s="148"/>
      <c r="C16" s="156" t="s">
        <v>298</v>
      </c>
      <c r="D16" s="149">
        <f t="shared" si="1"/>
        <v>43152000</v>
      </c>
      <c r="E16" s="149">
        <f>'Antenna Selector'!$Q$5*43152000</f>
        <v>43152000</v>
      </c>
      <c r="F16" s="149">
        <f t="shared" si="2"/>
        <v>43152000</v>
      </c>
      <c r="G16" s="150"/>
      <c r="H16" s="149">
        <f>H14+I16</f>
        <v>85855229664</v>
      </c>
      <c r="I16" s="149">
        <f t="shared" si="7"/>
        <v>43152000</v>
      </c>
      <c r="J16" s="151">
        <v>0.0</v>
      </c>
      <c r="K16" s="151">
        <v>0.0</v>
      </c>
      <c r="L16" s="152">
        <f t="shared" si="3"/>
        <v>0</v>
      </c>
      <c r="M16" s="151">
        <v>0.0</v>
      </c>
      <c r="N16" s="152">
        <f t="shared" si="4"/>
        <v>0</v>
      </c>
      <c r="O16" s="155"/>
      <c r="P16" s="148"/>
      <c r="Q16" s="148"/>
      <c r="R16" s="154"/>
      <c r="S16" s="154"/>
      <c r="T16" s="154"/>
      <c r="U16" s="154"/>
      <c r="V16" s="154"/>
      <c r="W16" s="154"/>
      <c r="X16" s="154"/>
      <c r="Y16" s="154"/>
      <c r="Z16" s="154"/>
      <c r="AA16" s="154"/>
    </row>
    <row r="17">
      <c r="A17" s="148"/>
      <c r="B17" s="148"/>
      <c r="C17" s="156" t="s">
        <v>299</v>
      </c>
      <c r="D17" s="149">
        <f t="shared" si="1"/>
        <v>68500000</v>
      </c>
      <c r="E17" s="149">
        <f>'Antenna Selector'!$Q$5*68500000</f>
        <v>68500000</v>
      </c>
      <c r="F17" s="149">
        <f t="shared" si="2"/>
        <v>68500000</v>
      </c>
      <c r="G17" s="150"/>
      <c r="H17" s="149">
        <f>H14+I17</f>
        <v>85880577664</v>
      </c>
      <c r="I17" s="149">
        <f t="shared" si="7"/>
        <v>68500000</v>
      </c>
      <c r="J17" s="151">
        <v>0.0</v>
      </c>
      <c r="K17" s="151">
        <v>0.025000000372529</v>
      </c>
      <c r="L17" s="152">
        <f t="shared" si="3"/>
        <v>0.0004363323195</v>
      </c>
      <c r="M17" s="151">
        <v>0.0</v>
      </c>
      <c r="N17" s="152">
        <f t="shared" si="4"/>
        <v>0</v>
      </c>
      <c r="O17" s="155"/>
      <c r="P17" s="148"/>
      <c r="Q17" s="148"/>
      <c r="R17" s="154"/>
      <c r="S17" s="154"/>
      <c r="T17" s="154"/>
      <c r="U17" s="154"/>
      <c r="V17" s="154"/>
      <c r="W17" s="154"/>
      <c r="X17" s="154"/>
      <c r="Y17" s="154"/>
      <c r="Z17" s="154"/>
      <c r="AA17" s="154"/>
    </row>
    <row r="18">
      <c r="A18" s="148"/>
      <c r="B18" s="148"/>
      <c r="C18" s="156" t="s">
        <v>300</v>
      </c>
      <c r="D18" s="149">
        <f t="shared" si="1"/>
        <v>98302500.08</v>
      </c>
      <c r="E18" s="149">
        <f>'Antenna Selector'!$Q$5*128500000</f>
        <v>128500000</v>
      </c>
      <c r="F18" s="149">
        <f t="shared" si="2"/>
        <v>158697499.9</v>
      </c>
      <c r="G18" s="150"/>
      <c r="H18" s="149">
        <f>H14+I18</f>
        <v>85970775164</v>
      </c>
      <c r="I18" s="149">
        <f t="shared" si="7"/>
        <v>158697499.9</v>
      </c>
      <c r="J18" s="151">
        <v>0.234999999403954</v>
      </c>
      <c r="K18" s="151">
        <v>15.0</v>
      </c>
      <c r="L18" s="152">
        <f t="shared" si="3"/>
        <v>0.2617993878</v>
      </c>
      <c r="M18" s="151">
        <v>25.0</v>
      </c>
      <c r="N18" s="152">
        <f t="shared" si="4"/>
        <v>0.436332313</v>
      </c>
      <c r="O18" s="153">
        <f t="shared" ref="O18:O22" si="8">(asin(L18)*F18)*((2*N18)/pi())</f>
        <v>11676880.36</v>
      </c>
      <c r="P18" s="148"/>
      <c r="Q18" s="148"/>
      <c r="R18" s="154"/>
      <c r="S18" s="154"/>
      <c r="T18" s="154"/>
      <c r="U18" s="154"/>
      <c r="V18" s="154"/>
      <c r="W18" s="154"/>
      <c r="X18" s="154"/>
      <c r="Y18" s="154"/>
      <c r="Z18" s="154"/>
      <c r="AA18" s="154"/>
    </row>
    <row r="19">
      <c r="A19" s="148"/>
      <c r="B19" s="148"/>
      <c r="C19" s="156" t="s">
        <v>301</v>
      </c>
      <c r="D19" s="149">
        <f t="shared" si="1"/>
        <v>149155793.5</v>
      </c>
      <c r="E19" s="149">
        <f>'Antenna Selector'!$Q$5*179890000</f>
        <v>179890000</v>
      </c>
      <c r="F19" s="149">
        <f t="shared" si="2"/>
        <v>210624206.5</v>
      </c>
      <c r="G19" s="150"/>
      <c r="H19" s="149">
        <f>H14+I19</f>
        <v>86022701871</v>
      </c>
      <c r="I19" s="149">
        <f t="shared" si="7"/>
        <v>210624206.5</v>
      </c>
      <c r="J19" s="151">
        <v>0.17085</v>
      </c>
      <c r="K19" s="151">
        <v>4.25</v>
      </c>
      <c r="L19" s="152">
        <f t="shared" si="3"/>
        <v>0.07417649321</v>
      </c>
      <c r="M19" s="151">
        <v>15.0</v>
      </c>
      <c r="N19" s="152">
        <f t="shared" si="4"/>
        <v>0.2617993878</v>
      </c>
      <c r="O19" s="153">
        <f t="shared" si="8"/>
        <v>2606287.939</v>
      </c>
      <c r="P19" s="148"/>
      <c r="Q19" s="148"/>
      <c r="R19" s="154"/>
      <c r="S19" s="154"/>
      <c r="T19" s="154"/>
      <c r="U19" s="154"/>
      <c r="V19" s="154"/>
      <c r="W19" s="154"/>
      <c r="X19" s="154"/>
      <c r="Y19" s="154"/>
      <c r="Z19" s="154"/>
      <c r="AA19" s="154"/>
    </row>
    <row r="20">
      <c r="A20" s="147"/>
      <c r="B20" s="147" t="s">
        <v>302</v>
      </c>
      <c r="C20" s="148"/>
      <c r="D20" s="149">
        <f t="shared" si="1"/>
        <v>66687926800</v>
      </c>
      <c r="E20" s="149">
        <f>'Antenna Selector'!$Q$5*90118820000</f>
        <v>90118820000</v>
      </c>
      <c r="F20" s="149">
        <f t="shared" si="2"/>
        <v>113549713200</v>
      </c>
      <c r="G20" s="149">
        <f>E64*'Antenna Selector'!$Q$5</f>
        <v>53183306389</v>
      </c>
      <c r="H20" s="149">
        <f>E50*'Antenna Selector'!$Q$5</f>
        <v>127081753657</v>
      </c>
      <c r="I20" s="150"/>
      <c r="J20" s="151">
        <v>0.26</v>
      </c>
      <c r="K20" s="151">
        <v>6.15</v>
      </c>
      <c r="L20" s="152">
        <f t="shared" si="3"/>
        <v>0.107337749</v>
      </c>
      <c r="M20" s="151">
        <v>80.0</v>
      </c>
      <c r="N20" s="152">
        <f t="shared" si="4"/>
        <v>1.396263402</v>
      </c>
      <c r="O20" s="153">
        <f t="shared" si="8"/>
        <v>10854841698</v>
      </c>
      <c r="P20" s="148"/>
      <c r="Q20" s="148"/>
      <c r="R20" s="154"/>
      <c r="S20" s="154"/>
      <c r="T20" s="154"/>
      <c r="U20" s="154"/>
      <c r="V20" s="154"/>
      <c r="W20" s="154"/>
      <c r="X20" s="154"/>
      <c r="Y20" s="154"/>
      <c r="Z20" s="154"/>
      <c r="AA20" s="154"/>
    </row>
    <row r="21">
      <c r="A21" s="148"/>
      <c r="B21" s="148"/>
      <c r="C21" s="148"/>
      <c r="D21" s="150"/>
      <c r="E21" s="150"/>
      <c r="F21" s="150"/>
      <c r="G21" s="150"/>
      <c r="H21" s="150"/>
      <c r="I21" s="150"/>
      <c r="J21" s="157"/>
      <c r="K21" s="157"/>
      <c r="L21" s="157"/>
      <c r="M21" s="157"/>
      <c r="N21" s="157"/>
      <c r="O21" s="155">
        <f t="shared" si="8"/>
        <v>0</v>
      </c>
      <c r="P21" s="158"/>
      <c r="Q21" s="148"/>
      <c r="R21" s="154"/>
      <c r="S21" s="154"/>
      <c r="T21" s="154"/>
      <c r="U21" s="154"/>
      <c r="V21" s="154"/>
      <c r="W21" s="154"/>
      <c r="X21" s="154"/>
      <c r="Y21" s="154"/>
      <c r="Z21" s="154"/>
      <c r="AA21" s="154"/>
    </row>
    <row r="22">
      <c r="A22" s="143" t="s">
        <v>303</v>
      </c>
      <c r="B22" s="99"/>
      <c r="C22" s="137"/>
      <c r="D22" s="141"/>
      <c r="E22" s="141"/>
      <c r="F22" s="141"/>
      <c r="G22" s="144" t="s">
        <v>282</v>
      </c>
      <c r="I22" s="141"/>
      <c r="J22" s="137"/>
      <c r="K22" s="137"/>
      <c r="L22" s="137"/>
      <c r="M22" s="137"/>
      <c r="N22" s="137"/>
      <c r="O22" s="159">
        <f t="shared" si="8"/>
        <v>0</v>
      </c>
      <c r="P22" s="137"/>
      <c r="Q22" s="137"/>
      <c r="R22" s="142"/>
      <c r="S22" s="142"/>
      <c r="T22" s="142"/>
      <c r="U22" s="142"/>
      <c r="V22" s="142"/>
      <c r="W22" s="142"/>
      <c r="X22" s="142"/>
      <c r="Y22" s="142"/>
      <c r="Z22" s="142"/>
      <c r="AA22" s="142"/>
    </row>
    <row r="23" ht="33.0" customHeight="1">
      <c r="A23" s="137"/>
      <c r="B23" s="137"/>
      <c r="C23" s="137"/>
      <c r="D23" s="140" t="s">
        <v>283</v>
      </c>
      <c r="E23" s="140" t="s">
        <v>284</v>
      </c>
      <c r="F23" s="140" t="s">
        <v>285</v>
      </c>
      <c r="G23" s="140" t="s">
        <v>286</v>
      </c>
      <c r="H23" s="140" t="s">
        <v>287</v>
      </c>
      <c r="I23" s="145" t="s">
        <v>288</v>
      </c>
      <c r="J23" s="140" t="s">
        <v>289</v>
      </c>
      <c r="K23" s="140" t="s">
        <v>290</v>
      </c>
      <c r="L23" s="140" t="s">
        <v>291</v>
      </c>
      <c r="M23" s="140" t="s">
        <v>304</v>
      </c>
      <c r="N23" s="140" t="s">
        <v>293</v>
      </c>
      <c r="O23" s="146" t="s">
        <v>294</v>
      </c>
      <c r="P23" s="137"/>
      <c r="Q23" s="137"/>
      <c r="R23" s="142"/>
      <c r="S23" s="142"/>
      <c r="T23" s="142"/>
      <c r="U23" s="142"/>
      <c r="V23" s="142"/>
      <c r="W23" s="142"/>
      <c r="X23" s="142"/>
      <c r="Y23" s="142"/>
      <c r="Z23" s="142"/>
      <c r="AA23" s="142"/>
    </row>
    <row r="24">
      <c r="A24" s="147"/>
      <c r="B24" s="147" t="s">
        <v>64</v>
      </c>
      <c r="C24" s="148"/>
      <c r="D24" s="149">
        <f t="shared" ref="D24:D39" si="9">E24*(1-J24)</f>
        <v>119080881274</v>
      </c>
      <c r="E24" s="153">
        <f>'Antenna Selector'!$Q$5*125798522368</f>
        <v>125798522368</v>
      </c>
      <c r="F24" s="149">
        <f t="shared" ref="F24:F39" si="10">E24*(1+J24)</f>
        <v>132516163462</v>
      </c>
      <c r="G24" s="149">
        <f>E65*'Antenna Selector'!$Q$5</f>
        <v>105481041293</v>
      </c>
      <c r="H24" s="149">
        <f>E51*'Antenna Selector'!$Q$5</f>
        <v>146116001357</v>
      </c>
      <c r="I24" s="150"/>
      <c r="J24" s="151">
        <v>0.0534</v>
      </c>
      <c r="K24" s="151">
        <v>2.02</v>
      </c>
      <c r="L24" s="151">
        <f t="shared" ref="L24:L39" si="11">RADIANS(K24)</f>
        <v>0.03525565089</v>
      </c>
      <c r="M24" s="151">
        <v>0.0</v>
      </c>
      <c r="N24" s="151">
        <f t="shared" ref="N24:N39" si="12">RADIANS(M24)</f>
        <v>0</v>
      </c>
      <c r="O24" s="155"/>
      <c r="P24" s="148"/>
      <c r="Q24" s="148"/>
      <c r="R24" s="154"/>
      <c r="S24" s="154"/>
      <c r="T24" s="154"/>
      <c r="U24" s="154"/>
      <c r="V24" s="154"/>
      <c r="W24" s="154"/>
      <c r="X24" s="154"/>
      <c r="Y24" s="154"/>
      <c r="Z24" s="154"/>
      <c r="AA24" s="154"/>
    </row>
    <row r="25">
      <c r="A25" s="148"/>
      <c r="B25" s="148"/>
      <c r="C25" s="147" t="s">
        <v>305</v>
      </c>
      <c r="D25" s="149">
        <f t="shared" si="9"/>
        <v>10488231</v>
      </c>
      <c r="E25" s="149">
        <f>'Antenna Selector'!$Q$5*10488231</f>
        <v>10488231</v>
      </c>
      <c r="F25" s="149">
        <f t="shared" si="10"/>
        <v>10488231</v>
      </c>
      <c r="G25" s="150"/>
      <c r="H25" s="149">
        <f t="shared" ref="H25:H29" si="13">$H$24+I25</f>
        <v>146126489588</v>
      </c>
      <c r="I25" s="149">
        <f t="shared" ref="I25:I29" si="14">F25</f>
        <v>10488231</v>
      </c>
      <c r="J25" s="151">
        <v>0.0</v>
      </c>
      <c r="K25" s="151">
        <v>1.0</v>
      </c>
      <c r="L25" s="151">
        <f t="shared" si="11"/>
        <v>0.01745329252</v>
      </c>
      <c r="M25" s="151">
        <v>0.0</v>
      </c>
      <c r="N25" s="151">
        <f t="shared" si="12"/>
        <v>0</v>
      </c>
      <c r="O25" s="155"/>
      <c r="P25" s="148"/>
      <c r="Q25" s="148"/>
      <c r="R25" s="154"/>
      <c r="S25" s="154"/>
      <c r="T25" s="154"/>
      <c r="U25" s="154"/>
      <c r="V25" s="154"/>
      <c r="W25" s="154"/>
      <c r="X25" s="154"/>
      <c r="Y25" s="154"/>
      <c r="Z25" s="154"/>
      <c r="AA25" s="154"/>
    </row>
    <row r="26">
      <c r="A26" s="148"/>
      <c r="B26" s="148"/>
      <c r="C26" s="147" t="s">
        <v>306</v>
      </c>
      <c r="D26" s="149">
        <f t="shared" si="9"/>
        <v>12047718.87</v>
      </c>
      <c r="E26" s="149">
        <f>'Antenna Selector'!$Q$5*12169413</f>
        <v>12169413</v>
      </c>
      <c r="F26" s="149">
        <f t="shared" si="10"/>
        <v>12291107.13</v>
      </c>
      <c r="G26" s="150"/>
      <c r="H26" s="149">
        <f t="shared" si="13"/>
        <v>146128292464</v>
      </c>
      <c r="I26" s="149">
        <f t="shared" si="14"/>
        <v>12291107.13</v>
      </c>
      <c r="J26" s="151">
        <v>0.01</v>
      </c>
      <c r="K26" s="151">
        <v>1.5</v>
      </c>
      <c r="L26" s="151">
        <f t="shared" si="11"/>
        <v>0.02617993878</v>
      </c>
      <c r="M26" s="151">
        <v>0.0</v>
      </c>
      <c r="N26" s="151">
        <f t="shared" si="12"/>
        <v>0</v>
      </c>
      <c r="O26" s="155"/>
      <c r="P26" s="148"/>
      <c r="Q26" s="148"/>
      <c r="R26" s="154"/>
      <c r="S26" s="154"/>
      <c r="T26" s="154"/>
      <c r="U26" s="154"/>
      <c r="V26" s="154"/>
      <c r="W26" s="154"/>
      <c r="X26" s="154"/>
      <c r="Y26" s="154"/>
      <c r="Z26" s="154"/>
      <c r="AA26" s="154"/>
    </row>
    <row r="27">
      <c r="A27" s="148"/>
      <c r="B27" s="148"/>
      <c r="C27" s="147" t="s">
        <v>302</v>
      </c>
      <c r="D27" s="149">
        <f t="shared" si="9"/>
        <v>19041017.67</v>
      </c>
      <c r="E27" s="149">
        <f>'Antenna Selector'!$Q$5*19105978</f>
        <v>19105978</v>
      </c>
      <c r="F27" s="149">
        <f t="shared" si="10"/>
        <v>19170938.33</v>
      </c>
      <c r="G27" s="150"/>
      <c r="H27" s="149">
        <f t="shared" si="13"/>
        <v>146135172295</v>
      </c>
      <c r="I27" s="149">
        <f t="shared" si="14"/>
        <v>19170938.33</v>
      </c>
      <c r="J27" s="151">
        <v>0.0034</v>
      </c>
      <c r="K27" s="151">
        <v>2.3</v>
      </c>
      <c r="L27" s="151">
        <f t="shared" si="11"/>
        <v>0.0401425728</v>
      </c>
      <c r="M27" s="151">
        <v>80.0</v>
      </c>
      <c r="N27" s="151">
        <f t="shared" si="12"/>
        <v>1.396263402</v>
      </c>
      <c r="O27" s="153">
        <f>(asin(L27)*F27)*((2*N27)/pi())</f>
        <v>684246.7749</v>
      </c>
      <c r="P27" s="148"/>
      <c r="Q27" s="148"/>
      <c r="R27" s="154"/>
      <c r="S27" s="154"/>
      <c r="T27" s="154"/>
      <c r="U27" s="154"/>
      <c r="V27" s="154"/>
      <c r="W27" s="154"/>
      <c r="X27" s="154"/>
      <c r="Y27" s="154"/>
      <c r="Z27" s="154"/>
      <c r="AA27" s="154"/>
    </row>
    <row r="28">
      <c r="A28" s="148"/>
      <c r="B28" s="148"/>
      <c r="C28" s="147" t="s">
        <v>307</v>
      </c>
      <c r="D28" s="149">
        <f t="shared" si="9"/>
        <v>40889228.16</v>
      </c>
      <c r="E28" s="149">
        <f>'Antenna Selector'!$Q$5*42592946</f>
        <v>42592946</v>
      </c>
      <c r="F28" s="149">
        <f t="shared" si="10"/>
        <v>44296663.84</v>
      </c>
      <c r="G28" s="150"/>
      <c r="H28" s="149">
        <f t="shared" si="13"/>
        <v>146160298021</v>
      </c>
      <c r="I28" s="149">
        <f t="shared" si="14"/>
        <v>44296663.84</v>
      </c>
      <c r="J28" s="151">
        <v>0.04</v>
      </c>
      <c r="K28" s="151">
        <v>2.3</v>
      </c>
      <c r="L28" s="151">
        <f t="shared" si="11"/>
        <v>0.0401425728</v>
      </c>
      <c r="M28" s="151">
        <v>0.0</v>
      </c>
      <c r="N28" s="151">
        <f t="shared" si="12"/>
        <v>0</v>
      </c>
      <c r="O28" s="155"/>
      <c r="P28" s="148"/>
      <c r="Q28" s="148"/>
      <c r="R28" s="154"/>
      <c r="S28" s="154"/>
      <c r="T28" s="154"/>
      <c r="U28" s="154"/>
      <c r="V28" s="154"/>
      <c r="W28" s="154"/>
      <c r="X28" s="154"/>
      <c r="Y28" s="154"/>
      <c r="Z28" s="154"/>
      <c r="AA28" s="154"/>
    </row>
    <row r="29">
      <c r="A29" s="148"/>
      <c r="B29" s="148"/>
      <c r="C29" s="147" t="s">
        <v>308</v>
      </c>
      <c r="D29" s="149">
        <f t="shared" si="9"/>
        <v>94629355.49</v>
      </c>
      <c r="E29" s="149">
        <f>'Antenna Selector'!$Q$5*97355304</f>
        <v>97355304</v>
      </c>
      <c r="F29" s="149">
        <f t="shared" si="10"/>
        <v>100081252.5</v>
      </c>
      <c r="G29" s="150"/>
      <c r="H29" s="149">
        <f t="shared" si="13"/>
        <v>146216082610</v>
      </c>
      <c r="I29" s="149">
        <f t="shared" si="14"/>
        <v>100081252.5</v>
      </c>
      <c r="J29" s="151">
        <v>0.028</v>
      </c>
      <c r="K29" s="151">
        <v>9.4</v>
      </c>
      <c r="L29" s="151">
        <f t="shared" si="11"/>
        <v>0.1640609497</v>
      </c>
      <c r="M29" s="151">
        <v>0.0</v>
      </c>
      <c r="N29" s="151">
        <f t="shared" si="12"/>
        <v>0</v>
      </c>
      <c r="O29" s="155"/>
      <c r="P29" s="148"/>
      <c r="Q29" s="148"/>
      <c r="R29" s="154"/>
      <c r="S29" s="154"/>
      <c r="T29" s="154"/>
      <c r="U29" s="154"/>
      <c r="V29" s="154"/>
      <c r="W29" s="154"/>
      <c r="X29" s="154"/>
      <c r="Y29" s="154"/>
      <c r="Z29" s="154"/>
      <c r="AA29" s="154"/>
    </row>
    <row r="30">
      <c r="A30" s="147"/>
      <c r="B30" s="147" t="s">
        <v>70</v>
      </c>
      <c r="C30" s="148"/>
      <c r="D30" s="149">
        <f t="shared" si="9"/>
        <v>242818151961</v>
      </c>
      <c r="E30" s="149">
        <f>'Antenna Selector'!$Q$5*254317012787</f>
        <v>254317012787</v>
      </c>
      <c r="F30" s="149">
        <f t="shared" si="10"/>
        <v>265815873613</v>
      </c>
      <c r="G30" s="149">
        <f>E66*'Antenna Selector'!$Q$5</f>
        <v>229218312140</v>
      </c>
      <c r="H30" s="149">
        <f>E52*'Antenna Selector'!$Q$5</f>
        <v>279415712909</v>
      </c>
      <c r="I30" s="150"/>
      <c r="J30" s="151">
        <v>0.045214674</v>
      </c>
      <c r="K30" s="151">
        <v>0.64</v>
      </c>
      <c r="L30" s="151">
        <f t="shared" si="11"/>
        <v>0.01117010721</v>
      </c>
      <c r="M30" s="151">
        <v>0.0</v>
      </c>
      <c r="N30" s="151">
        <f t="shared" si="12"/>
        <v>0</v>
      </c>
      <c r="O30" s="155"/>
      <c r="P30" s="148"/>
      <c r="Q30" s="148"/>
      <c r="R30" s="154"/>
      <c r="S30" s="154"/>
      <c r="T30" s="154"/>
      <c r="U30" s="154"/>
      <c r="V30" s="154"/>
      <c r="W30" s="154"/>
      <c r="X30" s="154"/>
      <c r="Y30" s="154"/>
      <c r="Z30" s="154"/>
      <c r="AA30" s="154"/>
    </row>
    <row r="31">
      <c r="A31" s="148"/>
      <c r="B31" s="148"/>
      <c r="C31" s="147" t="s">
        <v>309</v>
      </c>
      <c r="D31" s="149">
        <f t="shared" si="9"/>
        <v>11710303.16</v>
      </c>
      <c r="E31" s="149">
        <f>'Antenna Selector'!$Q$5*11727895</f>
        <v>11727895</v>
      </c>
      <c r="F31" s="149">
        <f t="shared" si="10"/>
        <v>11745486.84</v>
      </c>
      <c r="G31" s="150"/>
      <c r="H31" s="149">
        <f t="shared" ref="H31:H33" si="15">$H$30+I31</f>
        <v>279427458396</v>
      </c>
      <c r="I31" s="149">
        <f t="shared" ref="I31:I34" si="16">F31</f>
        <v>11745486.84</v>
      </c>
      <c r="J31" s="151">
        <v>0.0015</v>
      </c>
      <c r="K31" s="151">
        <v>2.45</v>
      </c>
      <c r="L31" s="151">
        <f t="shared" si="11"/>
        <v>0.04276056667</v>
      </c>
      <c r="M31" s="151">
        <v>60.0</v>
      </c>
      <c r="N31" s="151">
        <f t="shared" si="12"/>
        <v>1.047197551</v>
      </c>
      <c r="O31" s="153">
        <f>(asin(L31)*F31)*((2*N31)/pi())</f>
        <v>334931.2368</v>
      </c>
      <c r="P31" s="148"/>
      <c r="Q31" s="148"/>
      <c r="R31" s="154"/>
      <c r="S31" s="154"/>
      <c r="T31" s="154"/>
      <c r="U31" s="154"/>
      <c r="V31" s="154"/>
      <c r="W31" s="154"/>
      <c r="X31" s="154"/>
      <c r="Y31" s="154"/>
      <c r="Z31" s="154"/>
      <c r="AA31" s="154"/>
    </row>
    <row r="32">
      <c r="A32" s="148"/>
      <c r="B32" s="148"/>
      <c r="C32" s="147" t="s">
        <v>310</v>
      </c>
      <c r="D32" s="149">
        <f t="shared" si="9"/>
        <v>11710303.16</v>
      </c>
      <c r="E32" s="149">
        <f>'Antenna Selector'!$Q$5*11727895</f>
        <v>11727895</v>
      </c>
      <c r="F32" s="149">
        <f t="shared" si="10"/>
        <v>11745486.84</v>
      </c>
      <c r="G32" s="150"/>
      <c r="H32" s="149">
        <f t="shared" si="15"/>
        <v>279427458396</v>
      </c>
      <c r="I32" s="149">
        <f t="shared" si="16"/>
        <v>11745486.84</v>
      </c>
      <c r="J32" s="151">
        <v>0.0015</v>
      </c>
      <c r="K32" s="151">
        <v>2.5</v>
      </c>
      <c r="L32" s="151">
        <f t="shared" si="11"/>
        <v>0.0436332313</v>
      </c>
      <c r="M32" s="151">
        <v>0.0</v>
      </c>
      <c r="N32" s="151">
        <f t="shared" si="12"/>
        <v>0</v>
      </c>
      <c r="O32" s="155"/>
      <c r="P32" s="148"/>
      <c r="Q32" s="148"/>
      <c r="R32" s="154"/>
      <c r="S32" s="154"/>
      <c r="T32" s="154"/>
      <c r="U32" s="154"/>
      <c r="V32" s="154"/>
      <c r="W32" s="154"/>
      <c r="X32" s="154"/>
      <c r="Y32" s="154"/>
      <c r="Z32" s="154"/>
      <c r="AA32" s="154"/>
    </row>
    <row r="33">
      <c r="A33" s="148"/>
      <c r="B33" s="148"/>
      <c r="C33" s="147" t="s">
        <v>311</v>
      </c>
      <c r="D33" s="149">
        <f t="shared" si="9"/>
        <v>65999933.64</v>
      </c>
      <c r="E33" s="149">
        <f>'Antenna Selector'!$Q$5*67553668</f>
        <v>67553668</v>
      </c>
      <c r="F33" s="149">
        <f t="shared" si="10"/>
        <v>69107402.36</v>
      </c>
      <c r="G33" s="150"/>
      <c r="H33" s="149">
        <f t="shared" si="15"/>
        <v>279484820311</v>
      </c>
      <c r="I33" s="149">
        <f t="shared" si="16"/>
        <v>69107402.36</v>
      </c>
      <c r="J33" s="151">
        <v>0.023</v>
      </c>
      <c r="K33" s="151">
        <v>1.9</v>
      </c>
      <c r="L33" s="151">
        <f t="shared" si="11"/>
        <v>0.03316125579</v>
      </c>
      <c r="M33" s="151">
        <v>0.0</v>
      </c>
      <c r="N33" s="151">
        <f t="shared" si="12"/>
        <v>0</v>
      </c>
      <c r="O33" s="155"/>
      <c r="P33" s="148"/>
      <c r="Q33" s="148"/>
      <c r="R33" s="154"/>
      <c r="S33" s="154"/>
      <c r="T33" s="154"/>
      <c r="U33" s="154"/>
      <c r="V33" s="154"/>
      <c r="W33" s="154"/>
      <c r="X33" s="154"/>
      <c r="Y33" s="154"/>
      <c r="Z33" s="154"/>
      <c r="AA33" s="154"/>
    </row>
    <row r="34">
      <c r="A34" s="148"/>
      <c r="B34" s="148"/>
      <c r="C34" s="147" t="s">
        <v>312</v>
      </c>
      <c r="D34" s="149">
        <f t="shared" si="9"/>
        <v>3109163</v>
      </c>
      <c r="E34" s="149">
        <f>'Antenna Selector'!$Q$5*3109163</f>
        <v>3109163</v>
      </c>
      <c r="F34" s="149">
        <f t="shared" si="10"/>
        <v>3109163</v>
      </c>
      <c r="G34" s="150"/>
      <c r="H34" s="149">
        <f>H33+I34</f>
        <v>279487929474</v>
      </c>
      <c r="I34" s="149">
        <f t="shared" si="16"/>
        <v>3109163</v>
      </c>
      <c r="J34" s="151">
        <v>0.0</v>
      </c>
      <c r="K34" s="157">
        <v>1.9</v>
      </c>
      <c r="L34" s="151">
        <f t="shared" si="11"/>
        <v>0.03316125579</v>
      </c>
      <c r="M34" s="151">
        <v>0.0</v>
      </c>
      <c r="N34" s="151">
        <f t="shared" si="12"/>
        <v>0</v>
      </c>
      <c r="O34" s="155"/>
      <c r="P34" s="148"/>
      <c r="Q34" s="148"/>
      <c r="R34" s="154"/>
      <c r="S34" s="154"/>
      <c r="T34" s="154"/>
      <c r="U34" s="154"/>
      <c r="V34" s="154"/>
      <c r="W34" s="154"/>
      <c r="X34" s="154"/>
      <c r="Y34" s="154"/>
      <c r="Z34" s="154"/>
      <c r="AA34" s="154"/>
    </row>
    <row r="35">
      <c r="A35" s="147"/>
      <c r="B35" s="147" t="s">
        <v>72</v>
      </c>
      <c r="C35" s="148"/>
      <c r="D35" s="149">
        <f t="shared" si="9"/>
        <v>404133170332</v>
      </c>
      <c r="E35" s="149">
        <f>'Antenna Selector'!$Q$5*409355191706</f>
        <v>409355191706</v>
      </c>
      <c r="F35" s="149">
        <f t="shared" si="10"/>
        <v>414577213080</v>
      </c>
      <c r="G35" s="149">
        <f>E67*'Antenna Selector'!$Q$5</f>
        <v>390533330076</v>
      </c>
      <c r="H35" s="149">
        <f>E53*'Antenna Selector'!$Q$5</f>
        <v>428177051986</v>
      </c>
      <c r="I35" s="150"/>
      <c r="J35" s="151">
        <v>0.0127567</v>
      </c>
      <c r="K35" s="151">
        <v>1.27</v>
      </c>
      <c r="L35" s="151">
        <f t="shared" si="11"/>
        <v>0.0221656815</v>
      </c>
      <c r="M35" s="151">
        <v>0.0</v>
      </c>
      <c r="N35" s="151">
        <f t="shared" si="12"/>
        <v>0</v>
      </c>
      <c r="O35" s="155"/>
      <c r="P35" s="148"/>
      <c r="Q35" s="148"/>
      <c r="R35" s="154"/>
      <c r="S35" s="154"/>
      <c r="T35" s="154"/>
      <c r="U35" s="154"/>
      <c r="V35" s="154"/>
      <c r="W35" s="154"/>
      <c r="X35" s="154"/>
      <c r="Y35" s="154"/>
      <c r="Z35" s="154"/>
      <c r="AA35" s="154"/>
    </row>
    <row r="36">
      <c r="A36" s="148"/>
      <c r="B36" s="148"/>
      <c r="C36" s="147" t="s">
        <v>313</v>
      </c>
      <c r="D36" s="149">
        <f t="shared" si="9"/>
        <v>32287005.62</v>
      </c>
      <c r="E36" s="149">
        <f>'Antenna Selector'!$Q$5*32300895</f>
        <v>32300895</v>
      </c>
      <c r="F36" s="149">
        <f t="shared" si="10"/>
        <v>32314784.38</v>
      </c>
      <c r="G36" s="150"/>
      <c r="H36" s="149">
        <f t="shared" ref="H36:H37" si="17">$H$35+I36</f>
        <v>428209366770</v>
      </c>
      <c r="I36" s="149">
        <f t="shared" ref="I36:I37" si="18">F36</f>
        <v>32314784.38</v>
      </c>
      <c r="J36" s="151">
        <v>4.3E-4</v>
      </c>
      <c r="K36" s="151">
        <v>18.9</v>
      </c>
      <c r="L36" s="151">
        <f t="shared" si="11"/>
        <v>0.3298672286</v>
      </c>
      <c r="M36" s="151">
        <v>0.0</v>
      </c>
      <c r="N36" s="151">
        <f t="shared" si="12"/>
        <v>0</v>
      </c>
      <c r="O36" s="155"/>
      <c r="P36" s="148"/>
      <c r="Q36" s="148"/>
      <c r="R36" s="154"/>
      <c r="S36" s="154"/>
      <c r="T36" s="154"/>
      <c r="U36" s="154"/>
      <c r="V36" s="154"/>
      <c r="W36" s="154"/>
      <c r="X36" s="154"/>
      <c r="Y36" s="154"/>
      <c r="Z36" s="154"/>
      <c r="AA36" s="154"/>
    </row>
    <row r="37">
      <c r="A37" s="148"/>
      <c r="B37" s="148"/>
      <c r="C37" s="147" t="s">
        <v>314</v>
      </c>
      <c r="D37" s="149">
        <f t="shared" si="9"/>
        <v>136568183.9</v>
      </c>
      <c r="E37" s="149">
        <f>'Antenna Selector'!$Q$5*487743514</f>
        <v>487743514</v>
      </c>
      <c r="F37" s="149">
        <f t="shared" si="10"/>
        <v>838918844.1</v>
      </c>
      <c r="G37" s="150"/>
      <c r="H37" s="149">
        <f t="shared" si="17"/>
        <v>429015970830</v>
      </c>
      <c r="I37" s="149">
        <f t="shared" si="18"/>
        <v>838918844.1</v>
      </c>
      <c r="J37" s="151">
        <v>0.72</v>
      </c>
      <c r="K37" s="151">
        <v>29.56</v>
      </c>
      <c r="L37" s="151">
        <f t="shared" si="11"/>
        <v>0.5159193269</v>
      </c>
      <c r="M37" s="151">
        <v>0.0</v>
      </c>
      <c r="N37" s="151">
        <f t="shared" si="12"/>
        <v>0</v>
      </c>
      <c r="O37" s="155"/>
      <c r="P37" s="148"/>
      <c r="Q37" s="148"/>
      <c r="R37" s="154"/>
      <c r="S37" s="154"/>
      <c r="T37" s="154"/>
      <c r="U37" s="154"/>
      <c r="V37" s="154"/>
      <c r="W37" s="154"/>
      <c r="X37" s="154"/>
      <c r="Y37" s="154"/>
      <c r="Z37" s="154"/>
      <c r="AA37" s="154"/>
    </row>
    <row r="38">
      <c r="A38" s="147"/>
      <c r="B38" s="147" t="s">
        <v>74</v>
      </c>
      <c r="C38" s="148"/>
      <c r="D38" s="149">
        <f t="shared" si="9"/>
        <v>396516942504</v>
      </c>
      <c r="E38" s="149">
        <f>'Antenna Selector'!$Q$5*535833706086</f>
        <v>535833706086</v>
      </c>
      <c r="F38" s="149">
        <f t="shared" si="10"/>
        <v>675150469668</v>
      </c>
      <c r="G38" s="149">
        <f>E68*'Antenna Selector'!$Q$5</f>
        <v>382964603173</v>
      </c>
      <c r="H38" s="149">
        <f>E54*'Antenna Selector'!$Q$5</f>
        <v>688705350475</v>
      </c>
      <c r="I38" s="150"/>
      <c r="J38" s="151">
        <v>0.26</v>
      </c>
      <c r="K38" s="151">
        <v>6.15</v>
      </c>
      <c r="L38" s="151">
        <f t="shared" si="11"/>
        <v>0.107337749</v>
      </c>
      <c r="M38" s="151">
        <v>50.0</v>
      </c>
      <c r="N38" s="151">
        <f t="shared" si="12"/>
        <v>0.872664626</v>
      </c>
      <c r="O38" s="153">
        <f>(asin(L38)*F38)*((2*N38)/pi())</f>
        <v>40338342037</v>
      </c>
      <c r="P38" s="148"/>
      <c r="Q38" s="148"/>
      <c r="R38" s="154"/>
      <c r="S38" s="154"/>
      <c r="T38" s="154"/>
      <c r="U38" s="154"/>
      <c r="V38" s="154"/>
      <c r="W38" s="154"/>
      <c r="X38" s="154"/>
      <c r="Y38" s="154"/>
      <c r="Z38" s="154"/>
      <c r="AA38" s="154"/>
    </row>
    <row r="39">
      <c r="A39" s="148"/>
      <c r="B39" s="148"/>
      <c r="C39" s="147" t="s">
        <v>315</v>
      </c>
      <c r="D39" s="149">
        <f t="shared" si="9"/>
        <v>2457800</v>
      </c>
      <c r="E39" s="149">
        <f>'Antenna Selector'!$Q$5*2457800</f>
        <v>2457800</v>
      </c>
      <c r="F39" s="149">
        <f t="shared" si="10"/>
        <v>2457800</v>
      </c>
      <c r="G39" s="150"/>
      <c r="H39" s="149">
        <f>$H$38+I39</f>
        <v>688707808275</v>
      </c>
      <c r="I39" s="149">
        <f>F39</f>
        <v>2457800</v>
      </c>
      <c r="J39" s="151">
        <v>0.0</v>
      </c>
      <c r="K39" s="151">
        <v>0.0</v>
      </c>
      <c r="L39" s="151">
        <f t="shared" si="11"/>
        <v>0</v>
      </c>
      <c r="M39" s="151">
        <v>50.0</v>
      </c>
      <c r="N39" s="151">
        <f t="shared" si="12"/>
        <v>0.872664626</v>
      </c>
      <c r="O39" s="155"/>
      <c r="P39" s="148"/>
      <c r="Q39" s="148"/>
      <c r="R39" s="154"/>
      <c r="S39" s="154"/>
      <c r="T39" s="154"/>
      <c r="U39" s="154"/>
      <c r="V39" s="154"/>
      <c r="W39" s="154"/>
      <c r="X39" s="154"/>
      <c r="Y39" s="154"/>
      <c r="Z39" s="154"/>
      <c r="AA39" s="154"/>
    </row>
    <row r="40">
      <c r="A40" s="148"/>
      <c r="B40" s="148"/>
      <c r="C40" s="148"/>
      <c r="D40" s="157"/>
      <c r="E40" s="157"/>
      <c r="F40" s="157"/>
      <c r="G40" s="157"/>
      <c r="H40" s="157"/>
      <c r="I40" s="157"/>
      <c r="J40" s="157"/>
      <c r="K40" s="157"/>
      <c r="L40" s="157"/>
      <c r="M40" s="157"/>
      <c r="N40" s="157"/>
      <c r="O40" s="150"/>
      <c r="P40" s="148"/>
      <c r="Q40" s="148"/>
      <c r="R40" s="154"/>
      <c r="S40" s="154"/>
      <c r="T40" s="154"/>
      <c r="U40" s="154"/>
      <c r="V40" s="154"/>
      <c r="W40" s="154"/>
      <c r="X40" s="154"/>
      <c r="Y40" s="154"/>
      <c r="Z40" s="154"/>
      <c r="AA40" s="154"/>
    </row>
    <row r="41">
      <c r="A41" s="148"/>
      <c r="B41" s="148"/>
      <c r="C41" s="148"/>
      <c r="D41" s="157"/>
      <c r="E41" s="157"/>
      <c r="F41" s="157"/>
      <c r="G41" s="157"/>
      <c r="H41" s="157"/>
      <c r="I41" s="157"/>
      <c r="J41" s="157"/>
      <c r="K41" s="157"/>
      <c r="L41" s="157"/>
      <c r="M41" s="157"/>
      <c r="N41" s="157"/>
      <c r="O41" s="150"/>
      <c r="P41" s="148"/>
      <c r="Q41" s="148"/>
      <c r="R41" s="154"/>
      <c r="S41" s="154"/>
      <c r="T41" s="154"/>
      <c r="U41" s="154"/>
      <c r="V41" s="154"/>
      <c r="W41" s="154"/>
      <c r="X41" s="154"/>
      <c r="Y41" s="154"/>
      <c r="Z41" s="154"/>
      <c r="AA41" s="154"/>
    </row>
    <row r="42">
      <c r="A42" s="148"/>
      <c r="B42" s="160" t="s">
        <v>316</v>
      </c>
      <c r="C42" s="161"/>
      <c r="D42" s="161"/>
      <c r="E42" s="161"/>
      <c r="F42" s="161"/>
      <c r="G42" s="161"/>
      <c r="H42" s="161"/>
      <c r="I42" s="161"/>
      <c r="J42" s="161"/>
      <c r="K42" s="161"/>
      <c r="L42" s="161"/>
      <c r="M42" s="161"/>
      <c r="N42" s="157"/>
      <c r="O42" s="150"/>
      <c r="P42" s="148"/>
      <c r="Q42" s="148"/>
      <c r="R42" s="154"/>
      <c r="S42" s="154"/>
      <c r="T42" s="154"/>
      <c r="U42" s="154"/>
      <c r="V42" s="154"/>
      <c r="W42" s="154"/>
      <c r="X42" s="154"/>
      <c r="Y42" s="154"/>
      <c r="Z42" s="154"/>
      <c r="AA42" s="154"/>
    </row>
    <row r="43">
      <c r="A43" s="148"/>
      <c r="B43" s="161"/>
      <c r="C43" s="161" t="s">
        <v>23</v>
      </c>
      <c r="D43" s="161" t="s">
        <v>26</v>
      </c>
      <c r="E43" s="161" t="s">
        <v>54</v>
      </c>
      <c r="F43" s="161" t="s">
        <v>42</v>
      </c>
      <c r="G43" s="161" t="s">
        <v>49</v>
      </c>
      <c r="H43" s="161" t="s">
        <v>53</v>
      </c>
      <c r="I43" s="161" t="s">
        <v>62</v>
      </c>
      <c r="J43" s="161" t="s">
        <v>64</v>
      </c>
      <c r="K43" s="161" t="s">
        <v>70</v>
      </c>
      <c r="L43" s="161" t="s">
        <v>72</v>
      </c>
      <c r="M43" s="161" t="s">
        <v>74</v>
      </c>
      <c r="N43" s="157"/>
      <c r="O43" s="150"/>
      <c r="P43" s="148"/>
      <c r="Q43" s="148"/>
      <c r="R43" s="154"/>
      <c r="S43" s="154"/>
      <c r="T43" s="154"/>
      <c r="U43" s="154"/>
      <c r="V43" s="154"/>
      <c r="W43" s="154"/>
      <c r="X43" s="154"/>
      <c r="Y43" s="154"/>
      <c r="Z43" s="154"/>
      <c r="AA43" s="154"/>
    </row>
    <row r="44">
      <c r="A44" s="148"/>
      <c r="B44" s="161" t="s">
        <v>23</v>
      </c>
      <c r="C44" s="162"/>
      <c r="D44" s="163">
        <v>1.6117620965E10</v>
      </c>
      <c r="E44" s="163">
        <v>1.9913538689E10</v>
      </c>
      <c r="F44" s="163">
        <v>2.6768894596E10</v>
      </c>
      <c r="G44" s="163">
        <v>5.1629701751E10</v>
      </c>
      <c r="H44" s="163">
        <v>7.6594331726E10</v>
      </c>
      <c r="I44" s="163">
        <v>1.19514349491E11</v>
      </c>
      <c r="J44" s="163">
        <v>1.37899413145E11</v>
      </c>
      <c r="K44" s="163">
        <v>2.70103862039E11</v>
      </c>
      <c r="L44" s="163">
        <v>4.20885782209E11</v>
      </c>
      <c r="M44" s="163">
        <v>6.81013388049E11</v>
      </c>
      <c r="N44" s="157"/>
      <c r="O44" s="150"/>
      <c r="P44" s="148"/>
      <c r="Q44" s="148"/>
      <c r="R44" s="154"/>
      <c r="S44" s="154"/>
      <c r="T44" s="154"/>
      <c r="U44" s="154"/>
      <c r="V44" s="154"/>
      <c r="W44" s="154"/>
      <c r="X44" s="154"/>
      <c r="Y44" s="154"/>
      <c r="Z44" s="154"/>
      <c r="AA44" s="154"/>
    </row>
    <row r="45">
      <c r="A45" s="154"/>
      <c r="B45" s="161" t="s">
        <v>26</v>
      </c>
      <c r="C45" s="163">
        <v>1.6117620965E10</v>
      </c>
      <c r="D45" s="162"/>
      <c r="E45" s="163">
        <v>2.3530851543E10</v>
      </c>
      <c r="F45" s="163">
        <v>3.1665478335E10</v>
      </c>
      <c r="G45" s="163">
        <v>5.6462865976E10</v>
      </c>
      <c r="H45" s="163">
        <v>8.1964575968E10</v>
      </c>
      <c r="I45" s="163">
        <v>1.23317186214E11</v>
      </c>
      <c r="J45" s="163">
        <v>1.42445164161E11</v>
      </c>
      <c r="K45" s="163">
        <v>2.75576890709E11</v>
      </c>
      <c r="L45" s="163">
        <v>4.24448344065E11</v>
      </c>
      <c r="M45" s="163">
        <v>6.84877156293E11</v>
      </c>
      <c r="N45" s="81"/>
      <c r="O45" s="81"/>
      <c r="P45" s="154"/>
      <c r="Q45" s="154"/>
      <c r="R45" s="154"/>
      <c r="S45" s="154"/>
      <c r="T45" s="154"/>
      <c r="U45" s="154"/>
      <c r="V45" s="154"/>
      <c r="W45" s="154"/>
      <c r="X45" s="154"/>
      <c r="Y45" s="154"/>
      <c r="Z45" s="154"/>
      <c r="AA45" s="154"/>
    </row>
    <row r="46">
      <c r="A46" s="154"/>
      <c r="B46" s="161" t="s">
        <v>54</v>
      </c>
      <c r="C46" s="163">
        <v>1.9913538689E10</v>
      </c>
      <c r="D46" s="163">
        <v>2.3530851543E10</v>
      </c>
      <c r="E46" s="162"/>
      <c r="F46" s="163">
        <v>3.5383028257E10</v>
      </c>
      <c r="G46" s="163">
        <v>6.0320789167E10</v>
      </c>
      <c r="H46" s="163">
        <v>8.5812077664E10</v>
      </c>
      <c r="I46" s="163">
        <v>1.27081753657E11</v>
      </c>
      <c r="J46" s="163">
        <v>1.46116001357E11</v>
      </c>
      <c r="K46" s="163">
        <v>2.79415712909E11</v>
      </c>
      <c r="L46" s="163">
        <v>4.28177051986E11</v>
      </c>
      <c r="M46" s="163">
        <v>6.88705350475E11</v>
      </c>
      <c r="N46" s="81"/>
      <c r="O46" s="81"/>
      <c r="P46" s="154"/>
      <c r="Q46" s="154"/>
      <c r="R46" s="154"/>
      <c r="S46" s="154"/>
      <c r="T46" s="154"/>
      <c r="U46" s="154"/>
      <c r="V46" s="154"/>
      <c r="W46" s="154"/>
      <c r="X46" s="154"/>
      <c r="Y46" s="154"/>
      <c r="Z46" s="154"/>
      <c r="AA46" s="154"/>
    </row>
    <row r="47">
      <c r="A47" s="154"/>
      <c r="B47" s="161" t="s">
        <v>42</v>
      </c>
      <c r="C47" s="163">
        <v>2.6768894596E10</v>
      </c>
      <c r="D47" s="163">
        <v>3.1665478335E10</v>
      </c>
      <c r="E47" s="163">
        <v>3.5383028257E10</v>
      </c>
      <c r="F47" s="162"/>
      <c r="G47" s="163">
        <v>6.8080257426E10</v>
      </c>
      <c r="H47" s="163">
        <v>9.2947048984E10</v>
      </c>
      <c r="I47" s="163">
        <v>1.35225589054E11</v>
      </c>
      <c r="J47" s="163">
        <v>1.52572434486E11</v>
      </c>
      <c r="K47" s="163">
        <v>2.86277600809E11</v>
      </c>
      <c r="L47" s="163">
        <v>4.35937664943E11</v>
      </c>
      <c r="M47" s="163">
        <v>6.9685724663E11</v>
      </c>
      <c r="N47" s="81"/>
      <c r="O47" s="81"/>
      <c r="P47" s="154"/>
      <c r="Q47" s="154"/>
      <c r="R47" s="154"/>
      <c r="S47" s="154"/>
      <c r="T47" s="154"/>
      <c r="U47" s="154"/>
      <c r="V47" s="154"/>
      <c r="W47" s="154"/>
      <c r="X47" s="154"/>
      <c r="Y47" s="154"/>
      <c r="Z47" s="154"/>
      <c r="AA47" s="154"/>
    </row>
    <row r="48">
      <c r="A48" s="154"/>
      <c r="B48" s="161" t="s">
        <v>49</v>
      </c>
      <c r="C48" s="163">
        <v>5.1629701751E10</v>
      </c>
      <c r="D48" s="163">
        <v>5.6462865976E10</v>
      </c>
      <c r="E48" s="163">
        <v>6.0320789167E10</v>
      </c>
      <c r="F48" s="163">
        <v>6.8080257426E10</v>
      </c>
      <c r="G48" s="162"/>
      <c r="H48" s="163">
        <v>1.13360806852E11</v>
      </c>
      <c r="I48" s="163">
        <v>1.51339309036E11</v>
      </c>
      <c r="J48" s="163">
        <v>1.79121563993E11</v>
      </c>
      <c r="K48" s="163">
        <v>3.03705197689E11</v>
      </c>
      <c r="L48" s="163">
        <v>4.59178955774E11</v>
      </c>
      <c r="M48" s="163">
        <v>7.12736293268E11</v>
      </c>
      <c r="N48" s="81"/>
      <c r="O48" s="81"/>
      <c r="P48" s="154"/>
      <c r="Q48" s="154"/>
      <c r="R48" s="154"/>
      <c r="S48" s="154"/>
      <c r="T48" s="154"/>
      <c r="U48" s="154"/>
      <c r="V48" s="154"/>
      <c r="W48" s="154"/>
      <c r="X48" s="154"/>
      <c r="Y48" s="154"/>
      <c r="Z48" s="154"/>
      <c r="AA48" s="154"/>
    </row>
    <row r="49">
      <c r="A49" s="154"/>
      <c r="B49" s="161" t="s">
        <v>53</v>
      </c>
      <c r="C49" s="163">
        <v>7.6594331726E10</v>
      </c>
      <c r="D49" s="163">
        <v>8.1964575968E10</v>
      </c>
      <c r="E49" s="163">
        <v>8.5812077664E10</v>
      </c>
      <c r="F49" s="163">
        <v>9.2947048984E10</v>
      </c>
      <c r="G49" s="163">
        <v>1.13360806852E11</v>
      </c>
      <c r="H49" s="162"/>
      <c r="I49" s="163">
        <v>1.6994375591E11</v>
      </c>
      <c r="J49" s="163">
        <v>2.03907220758E11</v>
      </c>
      <c r="K49" s="163">
        <v>3.31199563248E11</v>
      </c>
      <c r="L49" s="163">
        <v>4.86552250295E11</v>
      </c>
      <c r="M49" s="163">
        <v>7.44265119863E11</v>
      </c>
      <c r="N49" s="81"/>
      <c r="O49" s="81"/>
      <c r="P49" s="154"/>
      <c r="Q49" s="154"/>
      <c r="R49" s="154"/>
      <c r="S49" s="154"/>
      <c r="T49" s="154"/>
      <c r="U49" s="154"/>
      <c r="V49" s="154"/>
      <c r="W49" s="154"/>
      <c r="X49" s="154"/>
      <c r="Y49" s="154"/>
      <c r="Z49" s="154"/>
      <c r="AA49" s="154"/>
    </row>
    <row r="50">
      <c r="A50" s="154"/>
      <c r="B50" s="161" t="s">
        <v>62</v>
      </c>
      <c r="C50" s="163">
        <v>1.19514349491E11</v>
      </c>
      <c r="D50" s="163">
        <v>1.23317186214E11</v>
      </c>
      <c r="E50" s="163">
        <v>1.27081753657E11</v>
      </c>
      <c r="F50" s="163">
        <v>1.35225589054E11</v>
      </c>
      <c r="G50" s="163">
        <v>1.51339309036E11</v>
      </c>
      <c r="H50" s="163">
        <v>1.6994375591E11</v>
      </c>
      <c r="I50" s="162"/>
      <c r="J50" s="163">
        <v>2.43123109571E11</v>
      </c>
      <c r="K50" s="163">
        <v>3.732123398E11</v>
      </c>
      <c r="L50" s="163">
        <v>5.19198233466E11</v>
      </c>
      <c r="M50" s="163">
        <v>7.40539149543E11</v>
      </c>
      <c r="N50" s="81"/>
      <c r="O50" s="81"/>
      <c r="P50" s="154"/>
      <c r="Q50" s="154"/>
      <c r="R50" s="154"/>
      <c r="S50" s="154"/>
      <c r="T50" s="154"/>
      <c r="U50" s="154"/>
      <c r="V50" s="154"/>
      <c r="W50" s="154"/>
      <c r="X50" s="154"/>
      <c r="Y50" s="154"/>
      <c r="Z50" s="154"/>
      <c r="AA50" s="154"/>
    </row>
    <row r="51">
      <c r="A51" s="154"/>
      <c r="B51" s="161" t="s">
        <v>64</v>
      </c>
      <c r="C51" s="163">
        <v>1.37899413145E11</v>
      </c>
      <c r="D51" s="163">
        <v>1.42445164161E11</v>
      </c>
      <c r="E51" s="163">
        <v>1.46116001357E11</v>
      </c>
      <c r="F51" s="163">
        <v>1.52572434486E11</v>
      </c>
      <c r="G51" s="163">
        <v>1.79121563993E11</v>
      </c>
      <c r="H51" s="163">
        <v>2.03907220758E11</v>
      </c>
      <c r="I51" s="163">
        <v>2.43123109571E11</v>
      </c>
      <c r="J51" s="162"/>
      <c r="K51" s="163">
        <v>3.96177918875E11</v>
      </c>
      <c r="L51" s="163">
        <v>5.42407146909E11</v>
      </c>
      <c r="M51" s="163">
        <v>8.04676295371E11</v>
      </c>
      <c r="N51" s="81"/>
      <c r="O51" s="81"/>
      <c r="P51" s="154"/>
      <c r="Q51" s="154"/>
      <c r="R51" s="154"/>
      <c r="S51" s="154"/>
      <c r="T51" s="154"/>
      <c r="U51" s="154"/>
      <c r="V51" s="154"/>
      <c r="W51" s="154"/>
      <c r="X51" s="154"/>
      <c r="Y51" s="154"/>
      <c r="Z51" s="154"/>
      <c r="AA51" s="154"/>
    </row>
    <row r="52">
      <c r="A52" s="154"/>
      <c r="B52" s="161" t="s">
        <v>70</v>
      </c>
      <c r="C52" s="163">
        <v>2.70103862039E11</v>
      </c>
      <c r="D52" s="163">
        <v>2.75576890709E11</v>
      </c>
      <c r="E52" s="163">
        <v>2.79415712909E11</v>
      </c>
      <c r="F52" s="163">
        <v>2.86277600809E11</v>
      </c>
      <c r="G52" s="163">
        <v>3.03705197689E11</v>
      </c>
      <c r="H52" s="163">
        <v>3.31199563248E11</v>
      </c>
      <c r="I52" s="163">
        <v>3.732123398E11</v>
      </c>
      <c r="J52" s="163">
        <v>3.96177918875E11</v>
      </c>
      <c r="K52" s="162"/>
      <c r="L52" s="163">
        <v>6.80197580053E11</v>
      </c>
      <c r="M52" s="163">
        <v>9.32918586457E11</v>
      </c>
      <c r="N52" s="81"/>
      <c r="O52" s="81"/>
      <c r="P52" s="154"/>
      <c r="Q52" s="154"/>
      <c r="R52" s="154"/>
      <c r="S52" s="154"/>
      <c r="T52" s="154"/>
      <c r="U52" s="154"/>
      <c r="V52" s="154"/>
      <c r="W52" s="154"/>
      <c r="X52" s="154"/>
      <c r="Y52" s="154"/>
      <c r="Z52" s="154"/>
      <c r="AA52" s="154"/>
    </row>
    <row r="53">
      <c r="A53" s="154"/>
      <c r="B53" s="161" t="s">
        <v>72</v>
      </c>
      <c r="C53" s="163">
        <v>4.20885782209E11</v>
      </c>
      <c r="D53" s="163">
        <v>4.24448344065E11</v>
      </c>
      <c r="E53" s="163">
        <v>4.28177051986E11</v>
      </c>
      <c r="F53" s="163">
        <v>4.35937664943E11</v>
      </c>
      <c r="G53" s="163">
        <v>4.59178955774E11</v>
      </c>
      <c r="H53" s="163">
        <v>4.86552250295E11</v>
      </c>
      <c r="I53" s="163">
        <v>5.19198233466E11</v>
      </c>
      <c r="J53" s="163">
        <v>5.42407146909E11</v>
      </c>
      <c r="K53" s="163">
        <v>6.80197580053E11</v>
      </c>
      <c r="L53" s="162"/>
      <c r="M53" s="163">
        <v>1.079565277068E12</v>
      </c>
      <c r="N53" s="81"/>
      <c r="O53" s="81"/>
      <c r="P53" s="154"/>
      <c r="Q53" s="154"/>
      <c r="R53" s="154"/>
      <c r="S53" s="154"/>
      <c r="T53" s="154"/>
      <c r="U53" s="154"/>
      <c r="V53" s="154"/>
      <c r="W53" s="154"/>
      <c r="X53" s="154"/>
      <c r="Y53" s="154"/>
      <c r="Z53" s="154"/>
      <c r="AA53" s="154"/>
    </row>
    <row r="54">
      <c r="A54" s="154"/>
      <c r="B54" s="161" t="s">
        <v>74</v>
      </c>
      <c r="C54" s="163">
        <v>6.81013388049E11</v>
      </c>
      <c r="D54" s="163">
        <v>6.84877156293E11</v>
      </c>
      <c r="E54" s="163">
        <v>6.88705350475E11</v>
      </c>
      <c r="F54" s="163">
        <v>6.9685724663E11</v>
      </c>
      <c r="G54" s="163">
        <v>7.12736293268E11</v>
      </c>
      <c r="H54" s="163">
        <v>7.44265119863E11</v>
      </c>
      <c r="I54" s="163">
        <v>7.40539149543E11</v>
      </c>
      <c r="J54" s="163">
        <v>8.04676295371E11</v>
      </c>
      <c r="K54" s="163">
        <v>9.32918586457E11</v>
      </c>
      <c r="L54" s="163">
        <v>1.079565277068E12</v>
      </c>
      <c r="M54" s="162"/>
      <c r="N54" s="81"/>
      <c r="O54" s="81"/>
      <c r="P54" s="154"/>
      <c r="Q54" s="154"/>
      <c r="R54" s="154"/>
      <c r="S54" s="154"/>
      <c r="T54" s="154"/>
      <c r="U54" s="154"/>
      <c r="V54" s="154"/>
      <c r="W54" s="154"/>
      <c r="X54" s="154"/>
      <c r="Y54" s="154"/>
      <c r="Z54" s="154"/>
      <c r="AA54" s="154"/>
    </row>
    <row r="55">
      <c r="A55" s="154"/>
      <c r="B55" s="161"/>
      <c r="C55" s="161"/>
      <c r="D55" s="161"/>
      <c r="E55" s="161"/>
      <c r="F55" s="161"/>
      <c r="G55" s="161"/>
      <c r="H55" s="161"/>
      <c r="I55" s="161"/>
      <c r="J55" s="161"/>
      <c r="K55" s="161"/>
      <c r="L55" s="161"/>
      <c r="M55" s="161"/>
      <c r="N55" s="81"/>
      <c r="O55" s="81"/>
      <c r="P55" s="154"/>
      <c r="Q55" s="154"/>
      <c r="R55" s="154"/>
      <c r="S55" s="154"/>
      <c r="T55" s="154"/>
      <c r="U55" s="154"/>
      <c r="V55" s="154"/>
      <c r="W55" s="154"/>
      <c r="X55" s="154"/>
      <c r="Y55" s="154"/>
      <c r="Z55" s="154"/>
      <c r="AA55" s="154"/>
    </row>
    <row r="56">
      <c r="A56" s="154"/>
      <c r="B56" s="160" t="s">
        <v>317</v>
      </c>
      <c r="C56" s="161"/>
      <c r="D56" s="161"/>
      <c r="E56" s="161"/>
      <c r="F56" s="161"/>
      <c r="G56" s="161"/>
      <c r="H56" s="161"/>
      <c r="I56" s="161"/>
      <c r="J56" s="161"/>
      <c r="K56" s="161"/>
      <c r="L56" s="161"/>
      <c r="M56" s="161"/>
      <c r="N56" s="81"/>
      <c r="O56" s="81"/>
      <c r="P56" s="154"/>
      <c r="Q56" s="154"/>
      <c r="R56" s="154"/>
      <c r="S56" s="154"/>
      <c r="T56" s="154"/>
      <c r="U56" s="154"/>
      <c r="V56" s="154"/>
      <c r="W56" s="154"/>
      <c r="X56" s="154"/>
      <c r="Y56" s="154"/>
      <c r="Z56" s="154"/>
      <c r="AA56" s="154"/>
    </row>
    <row r="57">
      <c r="A57" s="154"/>
      <c r="B57" s="161"/>
      <c r="C57" s="161" t="s">
        <v>23</v>
      </c>
      <c r="D57" s="161" t="s">
        <v>26</v>
      </c>
      <c r="E57" s="161" t="s">
        <v>54</v>
      </c>
      <c r="F57" s="161" t="s">
        <v>42</v>
      </c>
      <c r="G57" s="161" t="s">
        <v>49</v>
      </c>
      <c r="H57" s="161" t="s">
        <v>53</v>
      </c>
      <c r="I57" s="161" t="s">
        <v>62</v>
      </c>
      <c r="J57" s="161" t="s">
        <v>64</v>
      </c>
      <c r="K57" s="161" t="s">
        <v>70</v>
      </c>
      <c r="L57" s="161" t="s">
        <v>72</v>
      </c>
      <c r="M57" s="161" t="s">
        <v>74</v>
      </c>
      <c r="N57" s="81"/>
      <c r="O57" s="81"/>
      <c r="P57" s="154"/>
      <c r="Q57" s="154"/>
      <c r="R57" s="154"/>
      <c r="S57" s="154"/>
      <c r="T57" s="154"/>
      <c r="U57" s="154"/>
      <c r="V57" s="154"/>
      <c r="W57" s="154"/>
      <c r="X57" s="154"/>
      <c r="Y57" s="154"/>
      <c r="Z57" s="154"/>
      <c r="AA57" s="154"/>
    </row>
    <row r="58">
      <c r="A58" s="154"/>
      <c r="B58" s="161" t="s">
        <v>23</v>
      </c>
      <c r="C58" s="162"/>
      <c r="D58" s="163">
        <v>3.546908249E9</v>
      </c>
      <c r="E58" s="163">
        <v>7.289385437E9</v>
      </c>
      <c r="F58" s="163">
        <v>1.4641065166E10</v>
      </c>
      <c r="G58" s="163">
        <v>3.0052321532E10</v>
      </c>
      <c r="H58" s="163">
        <v>6.0949012447E10</v>
      </c>
      <c r="I58" s="163">
        <v>6.0715266154E10</v>
      </c>
      <c r="J58" s="163">
        <v>1.13689187603E11</v>
      </c>
      <c r="K58" s="163">
        <v>2.38529725833E11</v>
      </c>
      <c r="L58" s="163">
        <v>3.97824635111E11</v>
      </c>
      <c r="M58" s="163">
        <v>3.90654083493E11</v>
      </c>
      <c r="N58" s="81"/>
      <c r="O58" s="81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4"/>
      <c r="AA58" s="154"/>
    </row>
    <row r="59">
      <c r="A59" s="154"/>
      <c r="B59" s="161" t="s">
        <v>26</v>
      </c>
      <c r="C59" s="163">
        <v>3.546908249E9</v>
      </c>
      <c r="D59" s="162"/>
      <c r="E59" s="163">
        <v>3.668828971E9</v>
      </c>
      <c r="F59" s="163">
        <v>9.792173567E9</v>
      </c>
      <c r="G59" s="163">
        <v>2.5237843444E10</v>
      </c>
      <c r="H59" s="163">
        <v>5.5583201161E10</v>
      </c>
      <c r="I59" s="163">
        <v>5.6926652048E10</v>
      </c>
      <c r="J59" s="163">
        <v>1.0915191148E11</v>
      </c>
      <c r="K59" s="163">
        <v>2.33057384011E11</v>
      </c>
      <c r="L59" s="163">
        <v>3.94262256595E11</v>
      </c>
      <c r="M59" s="163">
        <v>3.86792768271E11</v>
      </c>
      <c r="N59" s="81"/>
      <c r="O59" s="81"/>
      <c r="P59" s="154"/>
      <c r="Q59" s="154"/>
      <c r="R59" s="154"/>
      <c r="S59" s="154"/>
      <c r="T59" s="154"/>
      <c r="U59" s="154"/>
      <c r="V59" s="154"/>
      <c r="W59" s="154"/>
      <c r="X59" s="154"/>
      <c r="Y59" s="154"/>
      <c r="Z59" s="154"/>
      <c r="AA59" s="154"/>
    </row>
    <row r="60">
      <c r="A60" s="154"/>
      <c r="B60" s="161" t="s">
        <v>54</v>
      </c>
      <c r="C60" s="163">
        <v>7.289385437E9</v>
      </c>
      <c r="D60" s="163">
        <v>3.668828971E9</v>
      </c>
      <c r="E60" s="162"/>
      <c r="F60" s="163">
        <v>6.06928335E9</v>
      </c>
      <c r="G60" s="163">
        <v>2.140240194E10</v>
      </c>
      <c r="H60" s="163">
        <v>5.1735042066E10</v>
      </c>
      <c r="I60" s="163">
        <v>5.3183306389E10</v>
      </c>
      <c r="J60" s="163">
        <v>1.05481041293E11</v>
      </c>
      <c r="K60" s="163">
        <v>2.2921831214E11</v>
      </c>
      <c r="L60" s="163">
        <v>3.90533330076E11</v>
      </c>
      <c r="M60" s="163">
        <v>3.82964603173E11</v>
      </c>
      <c r="N60" s="81"/>
      <c r="O60" s="81"/>
      <c r="P60" s="154"/>
      <c r="Q60" s="154"/>
      <c r="R60" s="154"/>
      <c r="S60" s="154"/>
      <c r="T60" s="154"/>
      <c r="U60" s="154"/>
      <c r="V60" s="154"/>
      <c r="W60" s="154"/>
      <c r="X60" s="154"/>
      <c r="Y60" s="154"/>
      <c r="Z60" s="154"/>
      <c r="AA60" s="154"/>
    </row>
    <row r="61">
      <c r="A61" s="154"/>
      <c r="B61" s="161" t="s">
        <v>42</v>
      </c>
      <c r="C61" s="163">
        <v>1.4641065166E10</v>
      </c>
      <c r="D61" s="163">
        <v>9.792173567E9</v>
      </c>
      <c r="E61" s="163">
        <v>6.06928335E9</v>
      </c>
      <c r="F61" s="162"/>
      <c r="G61" s="163">
        <v>1.3732281489E10</v>
      </c>
      <c r="H61" s="163">
        <v>4.4584549836E10</v>
      </c>
      <c r="I61" s="163">
        <v>4.5090423762E10</v>
      </c>
      <c r="J61" s="163">
        <v>9.9018996748E10</v>
      </c>
      <c r="K61" s="163">
        <v>2.22352244103E11</v>
      </c>
      <c r="L61" s="163">
        <v>3.82771145487E11</v>
      </c>
      <c r="M61" s="163">
        <v>3.74816798977E11</v>
      </c>
      <c r="N61" s="81"/>
      <c r="O61" s="81"/>
      <c r="P61" s="154"/>
      <c r="Q61" s="154"/>
      <c r="R61" s="154"/>
      <c r="S61" s="154"/>
      <c r="T61" s="154"/>
      <c r="U61" s="154"/>
      <c r="V61" s="154"/>
      <c r="W61" s="154"/>
      <c r="X61" s="154"/>
      <c r="Y61" s="154"/>
      <c r="Z61" s="154"/>
      <c r="AA61" s="154"/>
    </row>
    <row r="62">
      <c r="A62" s="154"/>
      <c r="B62" s="161" t="s">
        <v>49</v>
      </c>
      <c r="C62" s="163">
        <v>3.0052321532E10</v>
      </c>
      <c r="D62" s="163">
        <v>2.5237843444E10</v>
      </c>
      <c r="E62" s="163">
        <v>2.140240194E10</v>
      </c>
      <c r="F62" s="163">
        <v>1.3732281489E10</v>
      </c>
      <c r="G62" s="162"/>
      <c r="H62" s="163">
        <v>2.4526513238E10</v>
      </c>
      <c r="I62" s="163">
        <v>2.8689105419E10</v>
      </c>
      <c r="J62" s="163">
        <v>7.2640228569E10</v>
      </c>
      <c r="K62" s="163">
        <v>2.04800505952E11</v>
      </c>
      <c r="L62" s="163">
        <v>3.59526182111E11</v>
      </c>
      <c r="M62" s="163">
        <v>3.58888475653E11</v>
      </c>
      <c r="N62" s="81"/>
      <c r="O62" s="81"/>
      <c r="P62" s="154"/>
      <c r="Q62" s="154"/>
      <c r="R62" s="154"/>
      <c r="S62" s="154"/>
      <c r="T62" s="154"/>
      <c r="U62" s="154"/>
      <c r="V62" s="154"/>
      <c r="W62" s="154"/>
      <c r="X62" s="154"/>
      <c r="Y62" s="154"/>
      <c r="Z62" s="154"/>
      <c r="AA62" s="154"/>
    </row>
    <row r="63">
      <c r="A63" s="154"/>
      <c r="B63" s="161" t="s">
        <v>53</v>
      </c>
      <c r="C63" s="163">
        <v>6.0949012447E10</v>
      </c>
      <c r="D63" s="163">
        <v>5.5583201161E10</v>
      </c>
      <c r="E63" s="163">
        <v>5.1735042066E10</v>
      </c>
      <c r="F63" s="163">
        <v>4.4584549836E10</v>
      </c>
      <c r="G63" s="163">
        <v>2.4526513238E10</v>
      </c>
      <c r="H63" s="162"/>
      <c r="I63" s="163">
        <v>1.1420136316E10</v>
      </c>
      <c r="J63" s="163">
        <v>4.7661436751E10</v>
      </c>
      <c r="K63" s="163">
        <v>1.7743449251E11</v>
      </c>
      <c r="L63" s="163">
        <v>3.32155656833E11</v>
      </c>
      <c r="M63" s="163">
        <v>3.27504530186E11</v>
      </c>
      <c r="N63" s="81"/>
      <c r="O63" s="81"/>
      <c r="P63" s="154"/>
      <c r="Q63" s="154"/>
      <c r="R63" s="154"/>
      <c r="S63" s="154"/>
      <c r="T63" s="154"/>
      <c r="U63" s="154"/>
      <c r="V63" s="154"/>
      <c r="W63" s="154"/>
      <c r="X63" s="154"/>
      <c r="Y63" s="154"/>
      <c r="Z63" s="154"/>
      <c r="AA63" s="154"/>
    </row>
    <row r="64">
      <c r="A64" s="154"/>
      <c r="B64" s="161" t="s">
        <v>62</v>
      </c>
      <c r="C64" s="163">
        <v>6.0715266154E10</v>
      </c>
      <c r="D64" s="163">
        <v>5.6926652048E10</v>
      </c>
      <c r="E64" s="163">
        <v>5.3183306389E10</v>
      </c>
      <c r="F64" s="163">
        <v>4.5090423762E10</v>
      </c>
      <c r="G64" s="163">
        <v>2.8689105419E10</v>
      </c>
      <c r="H64" s="163">
        <v>1.1420136316E10</v>
      </c>
      <c r="I64" s="162"/>
      <c r="J64" s="163">
        <v>1.6988828162E10</v>
      </c>
      <c r="K64" s="163">
        <v>1.35614910615E11</v>
      </c>
      <c r="L64" s="163">
        <v>2.99993717226E11</v>
      </c>
      <c r="M64" s="163">
        <v>3.31236639445E11</v>
      </c>
      <c r="N64" s="81"/>
      <c r="O64" s="81"/>
      <c r="P64" s="154"/>
      <c r="Q64" s="154"/>
      <c r="R64" s="154"/>
      <c r="S64" s="154"/>
      <c r="T64" s="154"/>
      <c r="U64" s="154"/>
      <c r="V64" s="154"/>
      <c r="W64" s="154"/>
      <c r="X64" s="154"/>
      <c r="Y64" s="154"/>
      <c r="Z64" s="154"/>
      <c r="AA64" s="154"/>
    </row>
    <row r="65">
      <c r="A65" s="154"/>
      <c r="B65" s="161" t="s">
        <v>64</v>
      </c>
      <c r="C65" s="163">
        <v>1.13689187603E11</v>
      </c>
      <c r="D65" s="163">
        <v>1.0915191148E11</v>
      </c>
      <c r="E65" s="163">
        <v>1.05481041293E11</v>
      </c>
      <c r="F65" s="163">
        <v>9.9018996748E10</v>
      </c>
      <c r="G65" s="163">
        <v>7.2640228569E10</v>
      </c>
      <c r="H65" s="163">
        <v>4.7661436751E10</v>
      </c>
      <c r="I65" s="163">
        <v>1.6988828162E10</v>
      </c>
      <c r="J65" s="162"/>
      <c r="K65" s="163">
        <v>1.12410337108E11</v>
      </c>
      <c r="L65" s="163">
        <v>2.76249933876E11</v>
      </c>
      <c r="M65" s="163">
        <v>2.67100127733E11</v>
      </c>
      <c r="N65" s="81"/>
      <c r="O65" s="81"/>
      <c r="P65" s="154"/>
      <c r="Q65" s="154"/>
      <c r="R65" s="154"/>
      <c r="S65" s="154"/>
      <c r="T65" s="154"/>
      <c r="U65" s="154"/>
      <c r="V65" s="154"/>
      <c r="W65" s="154"/>
      <c r="X65" s="154"/>
      <c r="Y65" s="154"/>
      <c r="Z65" s="154"/>
      <c r="AA65" s="154"/>
    </row>
    <row r="66">
      <c r="A66" s="154"/>
      <c r="B66" s="161" t="s">
        <v>70</v>
      </c>
      <c r="C66" s="163">
        <v>2.38529725833E11</v>
      </c>
      <c r="D66" s="163">
        <v>2.33057384011E11</v>
      </c>
      <c r="E66" s="163">
        <v>2.2921831214E11</v>
      </c>
      <c r="F66" s="163">
        <v>2.22352244103E11</v>
      </c>
      <c r="G66" s="163">
        <v>2.04800505952E11</v>
      </c>
      <c r="H66" s="163">
        <v>1.7743449251E11</v>
      </c>
      <c r="I66" s="163">
        <v>1.35614910615E11</v>
      </c>
      <c r="J66" s="163">
        <v>1.12410337108E11</v>
      </c>
      <c r="K66" s="162"/>
      <c r="L66" s="163">
        <v>1.38500522528E11</v>
      </c>
      <c r="M66" s="163">
        <v>1.40799540807E11</v>
      </c>
      <c r="N66" s="81"/>
      <c r="O66" s="81"/>
      <c r="P66" s="154"/>
      <c r="Q66" s="154"/>
      <c r="R66" s="154"/>
      <c r="S66" s="154"/>
      <c r="T66" s="154"/>
      <c r="U66" s="154"/>
      <c r="V66" s="154"/>
      <c r="W66" s="154"/>
      <c r="X66" s="154"/>
      <c r="Y66" s="154"/>
      <c r="Z66" s="154"/>
      <c r="AA66" s="154"/>
    </row>
    <row r="67">
      <c r="A67" s="154"/>
      <c r="B67" s="161" t="s">
        <v>72</v>
      </c>
      <c r="C67" s="163">
        <v>3.97824635111E11</v>
      </c>
      <c r="D67" s="163">
        <v>3.94262256595E11</v>
      </c>
      <c r="E67" s="163">
        <v>3.90533330076E11</v>
      </c>
      <c r="F67" s="163">
        <v>3.82771145487E11</v>
      </c>
      <c r="G67" s="163">
        <v>3.59526182111E11</v>
      </c>
      <c r="H67" s="163">
        <v>3.32155656833E11</v>
      </c>
      <c r="I67" s="163">
        <v>2.99993717226E11</v>
      </c>
      <c r="J67" s="163">
        <v>2.76249933876E11</v>
      </c>
      <c r="K67" s="163">
        <v>1.38500522528E11</v>
      </c>
      <c r="L67" s="162"/>
      <c r="M67" s="163">
        <v>2.27326990695E11</v>
      </c>
      <c r="N67" s="81"/>
      <c r="O67" s="81"/>
      <c r="P67" s="154"/>
      <c r="Q67" s="154"/>
      <c r="R67" s="154"/>
      <c r="S67" s="154"/>
      <c r="T67" s="154"/>
      <c r="U67" s="154"/>
      <c r="V67" s="154"/>
      <c r="W67" s="154"/>
      <c r="X67" s="154"/>
      <c r="Y67" s="154"/>
      <c r="Z67" s="154"/>
      <c r="AA67" s="154"/>
    </row>
    <row r="68">
      <c r="A68" s="154"/>
      <c r="B68" s="161" t="s">
        <v>74</v>
      </c>
      <c r="C68" s="163">
        <v>3.90654083493E11</v>
      </c>
      <c r="D68" s="163">
        <v>3.86792768271E11</v>
      </c>
      <c r="E68" s="163">
        <v>3.82964603173E11</v>
      </c>
      <c r="F68" s="163">
        <v>3.74816798977E11</v>
      </c>
      <c r="G68" s="163">
        <v>3.58888475653E11</v>
      </c>
      <c r="H68" s="163">
        <v>3.27504530186E11</v>
      </c>
      <c r="I68" s="163">
        <v>3.31236639445E11</v>
      </c>
      <c r="J68" s="163">
        <v>2.67100127733E11</v>
      </c>
      <c r="K68" s="163">
        <v>1.40799540807E11</v>
      </c>
      <c r="L68" s="163">
        <v>2.27326990695E11</v>
      </c>
      <c r="M68" s="162"/>
      <c r="N68" s="81"/>
      <c r="O68" s="81"/>
      <c r="P68" s="154"/>
      <c r="Q68" s="154"/>
      <c r="R68" s="154"/>
      <c r="S68" s="154"/>
      <c r="T68" s="154"/>
      <c r="U68" s="154"/>
      <c r="V68" s="154"/>
      <c r="W68" s="154"/>
      <c r="X68" s="154"/>
      <c r="Y68" s="154"/>
      <c r="Z68" s="154"/>
      <c r="AA68" s="154"/>
    </row>
    <row r="69">
      <c r="A69" s="154"/>
      <c r="B69" s="154"/>
      <c r="C69" s="154"/>
      <c r="D69" s="81"/>
      <c r="E69" s="81"/>
      <c r="F69" s="81"/>
      <c r="G69" s="81"/>
      <c r="H69" s="81"/>
      <c r="I69" s="81"/>
      <c r="J69" s="81"/>
      <c r="K69" s="81"/>
      <c r="L69" s="81"/>
      <c r="M69" s="81"/>
      <c r="N69" s="81"/>
      <c r="O69" s="81"/>
      <c r="P69" s="154"/>
      <c r="Q69" s="154"/>
      <c r="R69" s="154"/>
      <c r="S69" s="154"/>
      <c r="T69" s="154"/>
      <c r="U69" s="154"/>
      <c r="V69" s="154"/>
      <c r="W69" s="154"/>
      <c r="X69" s="154"/>
      <c r="Y69" s="154"/>
      <c r="Z69" s="154"/>
      <c r="AA69" s="154"/>
    </row>
    <row r="70">
      <c r="A70" s="154"/>
      <c r="B70" s="154"/>
      <c r="C70" s="154"/>
      <c r="D70" s="81"/>
      <c r="E70" s="81"/>
      <c r="F70" s="81"/>
      <c r="G70" s="81"/>
      <c r="H70" s="81"/>
      <c r="I70" s="81"/>
      <c r="J70" s="81"/>
      <c r="K70" s="81"/>
      <c r="L70" s="81"/>
      <c r="M70" s="81"/>
      <c r="N70" s="81"/>
      <c r="O70" s="81"/>
      <c r="P70" s="154"/>
      <c r="Q70" s="154"/>
      <c r="R70" s="154"/>
      <c r="S70" s="154"/>
      <c r="T70" s="154"/>
      <c r="U70" s="154"/>
      <c r="V70" s="154"/>
      <c r="W70" s="154"/>
      <c r="X70" s="154"/>
      <c r="Y70" s="154"/>
      <c r="Z70" s="154"/>
      <c r="AA70" s="154"/>
    </row>
    <row r="71">
      <c r="A71" s="154"/>
      <c r="B71" s="154"/>
      <c r="C71" s="154"/>
      <c r="D71" s="81"/>
      <c r="E71" s="81"/>
      <c r="F71" s="81"/>
      <c r="G71" s="81"/>
      <c r="H71" s="81"/>
      <c r="I71" s="81"/>
      <c r="J71" s="81"/>
      <c r="K71" s="81"/>
      <c r="L71" s="81"/>
      <c r="M71" s="81"/>
      <c r="N71" s="81"/>
      <c r="O71" s="81"/>
      <c r="P71" s="154"/>
      <c r="Q71" s="154"/>
      <c r="R71" s="154"/>
      <c r="S71" s="154"/>
      <c r="T71" s="154"/>
      <c r="U71" s="154"/>
      <c r="V71" s="154"/>
      <c r="W71" s="154"/>
      <c r="X71" s="154"/>
      <c r="Y71" s="154"/>
      <c r="Z71" s="154"/>
      <c r="AA71" s="154"/>
    </row>
    <row r="72">
      <c r="A72" s="154"/>
      <c r="B72" s="154"/>
      <c r="C72" s="154"/>
      <c r="D72" s="81"/>
      <c r="E72" s="81"/>
      <c r="F72" s="81"/>
      <c r="G72" s="81"/>
      <c r="H72" s="81"/>
      <c r="I72" s="81"/>
      <c r="J72" s="81"/>
      <c r="K72" s="81"/>
      <c r="L72" s="81"/>
      <c r="M72" s="81"/>
      <c r="N72" s="81"/>
      <c r="O72" s="81"/>
      <c r="P72" s="154"/>
      <c r="Q72" s="154"/>
      <c r="R72" s="154"/>
      <c r="S72" s="154"/>
      <c r="T72" s="154"/>
      <c r="U72" s="154"/>
      <c r="V72" s="154"/>
      <c r="W72" s="154"/>
      <c r="X72" s="154"/>
      <c r="Y72" s="154"/>
      <c r="Z72" s="154"/>
      <c r="AA72" s="154"/>
    </row>
    <row r="73">
      <c r="A73" s="154"/>
      <c r="B73" s="154"/>
      <c r="C73" s="154"/>
      <c r="D73" s="81"/>
      <c r="E73" s="81"/>
      <c r="F73" s="81"/>
      <c r="G73" s="81"/>
      <c r="H73" s="81"/>
      <c r="I73" s="81"/>
      <c r="J73" s="81"/>
      <c r="K73" s="81"/>
      <c r="L73" s="81"/>
      <c r="M73" s="81"/>
      <c r="N73" s="81"/>
      <c r="O73" s="81"/>
      <c r="P73" s="154"/>
      <c r="Q73" s="154"/>
      <c r="R73" s="154"/>
      <c r="S73" s="154"/>
      <c r="T73" s="154"/>
      <c r="U73" s="154"/>
      <c r="V73" s="154"/>
      <c r="W73" s="154"/>
      <c r="X73" s="154"/>
      <c r="Y73" s="154"/>
      <c r="Z73" s="154"/>
      <c r="AA73" s="154"/>
    </row>
    <row r="74">
      <c r="A74" s="154"/>
      <c r="B74" s="154"/>
      <c r="C74" s="154"/>
      <c r="D74" s="81"/>
      <c r="E74" s="81"/>
      <c r="F74" s="81"/>
      <c r="G74" s="81"/>
      <c r="H74" s="81"/>
      <c r="I74" s="81"/>
      <c r="J74" s="81"/>
      <c r="K74" s="81"/>
      <c r="L74" s="81"/>
      <c r="M74" s="81"/>
      <c r="N74" s="81"/>
      <c r="O74" s="81"/>
      <c r="P74" s="154"/>
      <c r="Q74" s="154"/>
      <c r="R74" s="154"/>
      <c r="S74" s="154"/>
      <c r="T74" s="154"/>
      <c r="U74" s="154"/>
      <c r="V74" s="154"/>
      <c r="W74" s="154"/>
      <c r="X74" s="154"/>
      <c r="Y74" s="154"/>
      <c r="Z74" s="154"/>
      <c r="AA74" s="154"/>
    </row>
    <row r="75">
      <c r="A75" s="154"/>
      <c r="B75" s="154"/>
      <c r="C75" s="154"/>
      <c r="D75" s="81"/>
      <c r="E75" s="81"/>
      <c r="F75" s="81"/>
      <c r="G75" s="81"/>
      <c r="H75" s="81"/>
      <c r="I75" s="81"/>
      <c r="J75" s="81"/>
      <c r="K75" s="81"/>
      <c r="L75" s="81"/>
      <c r="M75" s="81"/>
      <c r="N75" s="81"/>
      <c r="O75" s="81"/>
      <c r="P75" s="154"/>
      <c r="Q75" s="154"/>
      <c r="R75" s="154"/>
      <c r="S75" s="154"/>
      <c r="T75" s="154"/>
      <c r="U75" s="154"/>
      <c r="V75" s="154"/>
      <c r="W75" s="154"/>
      <c r="X75" s="154"/>
      <c r="Y75" s="154"/>
      <c r="Z75" s="154"/>
      <c r="AA75" s="154"/>
    </row>
    <row r="76">
      <c r="A76" s="154"/>
      <c r="B76" s="154"/>
      <c r="C76" s="154"/>
      <c r="D76" s="81"/>
      <c r="E76" s="81"/>
      <c r="F76" s="81"/>
      <c r="G76" s="81"/>
      <c r="H76" s="81"/>
      <c r="I76" s="81"/>
      <c r="J76" s="81"/>
      <c r="K76" s="81"/>
      <c r="L76" s="81"/>
      <c r="M76" s="81"/>
      <c r="N76" s="81"/>
      <c r="O76" s="81"/>
      <c r="P76" s="154"/>
      <c r="Q76" s="154"/>
      <c r="R76" s="154"/>
      <c r="S76" s="154"/>
      <c r="T76" s="154"/>
      <c r="U76" s="154"/>
      <c r="V76" s="154"/>
      <c r="W76" s="154"/>
      <c r="X76" s="154"/>
      <c r="Y76" s="154"/>
      <c r="Z76" s="154"/>
      <c r="AA76" s="154"/>
    </row>
    <row r="77">
      <c r="A77" s="154"/>
      <c r="B77" s="154"/>
      <c r="C77" s="154"/>
      <c r="D77" s="81"/>
      <c r="E77" s="81"/>
      <c r="F77" s="81"/>
      <c r="G77" s="81"/>
      <c r="H77" s="81"/>
      <c r="I77" s="81"/>
      <c r="J77" s="81"/>
      <c r="K77" s="81"/>
      <c r="L77" s="81"/>
      <c r="M77" s="81"/>
      <c r="N77" s="81"/>
      <c r="O77" s="81"/>
      <c r="P77" s="154"/>
      <c r="Q77" s="154"/>
      <c r="R77" s="154"/>
      <c r="S77" s="154"/>
      <c r="T77" s="154"/>
      <c r="U77" s="154"/>
      <c r="V77" s="154"/>
      <c r="W77" s="154"/>
      <c r="X77" s="154"/>
      <c r="Y77" s="154"/>
      <c r="Z77" s="154"/>
      <c r="AA77" s="154"/>
    </row>
    <row r="78">
      <c r="A78" s="154"/>
      <c r="B78" s="154"/>
      <c r="C78" s="154"/>
      <c r="D78" s="81"/>
      <c r="E78" s="81"/>
      <c r="F78" s="81"/>
      <c r="G78" s="81"/>
      <c r="H78" s="81"/>
      <c r="I78" s="81"/>
      <c r="J78" s="81"/>
      <c r="K78" s="81"/>
      <c r="L78" s="81"/>
      <c r="M78" s="81"/>
      <c r="N78" s="81"/>
      <c r="O78" s="81"/>
      <c r="P78" s="154"/>
      <c r="Q78" s="154"/>
      <c r="R78" s="154"/>
      <c r="S78" s="154"/>
      <c r="T78" s="154"/>
      <c r="U78" s="154"/>
      <c r="V78" s="154"/>
      <c r="W78" s="154"/>
      <c r="X78" s="154"/>
      <c r="Y78" s="154"/>
      <c r="Z78" s="154"/>
      <c r="AA78" s="154"/>
    </row>
    <row r="79">
      <c r="A79" s="154"/>
      <c r="B79" s="154"/>
      <c r="C79" s="154"/>
      <c r="D79" s="81"/>
      <c r="E79" s="81"/>
      <c r="F79" s="81"/>
      <c r="G79" s="81"/>
      <c r="H79" s="81"/>
      <c r="I79" s="81"/>
      <c r="J79" s="81"/>
      <c r="K79" s="81"/>
      <c r="L79" s="81"/>
      <c r="M79" s="81"/>
      <c r="N79" s="81"/>
      <c r="O79" s="81"/>
      <c r="P79" s="154"/>
      <c r="Q79" s="154"/>
      <c r="R79" s="154"/>
      <c r="S79" s="154"/>
      <c r="T79" s="154"/>
      <c r="U79" s="154"/>
      <c r="V79" s="154"/>
      <c r="W79" s="154"/>
      <c r="X79" s="154"/>
      <c r="Y79" s="154"/>
      <c r="Z79" s="154"/>
      <c r="AA79" s="154"/>
    </row>
    <row r="80">
      <c r="A80" s="154"/>
      <c r="B80" s="154"/>
      <c r="C80" s="154"/>
      <c r="D80" s="81"/>
      <c r="E80" s="81"/>
      <c r="F80" s="81"/>
      <c r="G80" s="81"/>
      <c r="H80" s="81"/>
      <c r="I80" s="81"/>
      <c r="J80" s="81"/>
      <c r="K80" s="81"/>
      <c r="L80" s="81"/>
      <c r="M80" s="81"/>
      <c r="N80" s="81"/>
      <c r="O80" s="81"/>
      <c r="P80" s="154"/>
      <c r="Q80" s="154"/>
      <c r="R80" s="154"/>
      <c r="S80" s="154"/>
      <c r="T80" s="154"/>
      <c r="U80" s="154"/>
      <c r="V80" s="154"/>
      <c r="W80" s="154"/>
      <c r="X80" s="154"/>
      <c r="Y80" s="154"/>
      <c r="Z80" s="154"/>
      <c r="AA80" s="154"/>
    </row>
    <row r="81">
      <c r="A81" s="154"/>
      <c r="B81" s="154"/>
      <c r="C81" s="154"/>
      <c r="D81" s="81"/>
      <c r="E81" s="81"/>
      <c r="F81" s="81"/>
      <c r="G81" s="81"/>
      <c r="H81" s="81"/>
      <c r="I81" s="81"/>
      <c r="J81" s="81"/>
      <c r="K81" s="81"/>
      <c r="L81" s="81"/>
      <c r="M81" s="81"/>
      <c r="N81" s="81"/>
      <c r="O81" s="81"/>
      <c r="P81" s="154"/>
      <c r="Q81" s="154"/>
      <c r="R81" s="154"/>
      <c r="S81" s="154"/>
      <c r="T81" s="154"/>
      <c r="U81" s="154"/>
      <c r="V81" s="154"/>
      <c r="W81" s="154"/>
      <c r="X81" s="154"/>
      <c r="Y81" s="154"/>
      <c r="Z81" s="154"/>
      <c r="AA81" s="154"/>
    </row>
    <row r="82">
      <c r="A82" s="154"/>
      <c r="B82" s="154"/>
      <c r="C82" s="154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154"/>
      <c r="Q82" s="154"/>
      <c r="R82" s="154"/>
      <c r="S82" s="154"/>
      <c r="T82" s="154"/>
      <c r="U82" s="154"/>
      <c r="V82" s="154"/>
      <c r="W82" s="154"/>
      <c r="X82" s="154"/>
      <c r="Y82" s="154"/>
      <c r="Z82" s="154"/>
      <c r="AA82" s="154"/>
    </row>
    <row r="83">
      <c r="A83" s="154"/>
      <c r="B83" s="154"/>
      <c r="C83" s="154"/>
      <c r="D83" s="81"/>
      <c r="E83" s="81"/>
      <c r="F83" s="81"/>
      <c r="G83" s="81"/>
      <c r="H83" s="81"/>
      <c r="I83" s="81"/>
      <c r="J83" s="81"/>
      <c r="K83" s="81"/>
      <c r="L83" s="81"/>
      <c r="M83" s="81"/>
      <c r="N83" s="81"/>
      <c r="O83" s="81"/>
      <c r="P83" s="154"/>
      <c r="Q83" s="154"/>
      <c r="R83" s="154"/>
      <c r="S83" s="154"/>
      <c r="T83" s="154"/>
      <c r="U83" s="154"/>
      <c r="V83" s="154"/>
      <c r="W83" s="154"/>
      <c r="X83" s="154"/>
      <c r="Y83" s="154"/>
      <c r="Z83" s="154"/>
      <c r="AA83" s="154"/>
    </row>
    <row r="84">
      <c r="A84" s="154"/>
      <c r="B84" s="154"/>
      <c r="C84" s="154"/>
      <c r="D84" s="81"/>
      <c r="E84" s="81"/>
      <c r="F84" s="81"/>
      <c r="G84" s="81"/>
      <c r="H84" s="81"/>
      <c r="I84" s="81"/>
      <c r="J84" s="81"/>
      <c r="K84" s="81"/>
      <c r="L84" s="81"/>
      <c r="M84" s="81"/>
      <c r="N84" s="81"/>
      <c r="O84" s="81"/>
      <c r="P84" s="154"/>
      <c r="Q84" s="154"/>
      <c r="R84" s="154"/>
      <c r="S84" s="154"/>
      <c r="T84" s="154"/>
      <c r="U84" s="154"/>
      <c r="V84" s="154"/>
      <c r="W84" s="154"/>
      <c r="X84" s="154"/>
      <c r="Y84" s="154"/>
      <c r="Z84" s="154"/>
      <c r="AA84" s="154"/>
    </row>
    <row r="85">
      <c r="A85" s="154"/>
      <c r="B85" s="154"/>
      <c r="C85" s="154"/>
      <c r="D85" s="81"/>
      <c r="E85" s="81"/>
      <c r="F85" s="81"/>
      <c r="G85" s="81"/>
      <c r="H85" s="81"/>
      <c r="I85" s="81"/>
      <c r="J85" s="81"/>
      <c r="K85" s="81"/>
      <c r="L85" s="81"/>
      <c r="M85" s="81"/>
      <c r="N85" s="81"/>
      <c r="O85" s="81"/>
      <c r="P85" s="154"/>
      <c r="Q85" s="154"/>
      <c r="R85" s="154"/>
      <c r="S85" s="154"/>
      <c r="T85" s="154"/>
      <c r="U85" s="154"/>
      <c r="V85" s="154"/>
      <c r="W85" s="154"/>
      <c r="X85" s="154"/>
      <c r="Y85" s="154"/>
      <c r="Z85" s="154"/>
      <c r="AA85" s="154"/>
    </row>
    <row r="86">
      <c r="A86" s="154"/>
      <c r="B86" s="154"/>
      <c r="C86" s="154"/>
      <c r="D86" s="81"/>
      <c r="E86" s="81"/>
      <c r="F86" s="81"/>
      <c r="G86" s="81"/>
      <c r="H86" s="81"/>
      <c r="I86" s="81"/>
      <c r="J86" s="81"/>
      <c r="K86" s="81"/>
      <c r="L86" s="81"/>
      <c r="M86" s="81"/>
      <c r="N86" s="81"/>
      <c r="O86" s="81"/>
      <c r="P86" s="154"/>
      <c r="Q86" s="154"/>
      <c r="R86" s="154"/>
      <c r="S86" s="154"/>
      <c r="T86" s="154"/>
      <c r="U86" s="154"/>
      <c r="V86" s="154"/>
      <c r="W86" s="154"/>
      <c r="X86" s="154"/>
      <c r="Y86" s="154"/>
      <c r="Z86" s="154"/>
      <c r="AA86" s="154"/>
    </row>
    <row r="87">
      <c r="A87" s="154"/>
      <c r="B87" s="154"/>
      <c r="C87" s="154"/>
      <c r="D87" s="81"/>
      <c r="E87" s="81"/>
      <c r="F87" s="81"/>
      <c r="G87" s="81"/>
      <c r="H87" s="81"/>
      <c r="I87" s="81"/>
      <c r="J87" s="81"/>
      <c r="K87" s="81"/>
      <c r="L87" s="81"/>
      <c r="M87" s="81"/>
      <c r="N87" s="81"/>
      <c r="O87" s="81"/>
      <c r="P87" s="154"/>
      <c r="Q87" s="154"/>
      <c r="R87" s="154"/>
      <c r="S87" s="154"/>
      <c r="T87" s="154"/>
      <c r="U87" s="154"/>
      <c r="V87" s="154"/>
      <c r="W87" s="154"/>
      <c r="X87" s="154"/>
      <c r="Y87" s="154"/>
      <c r="Z87" s="154"/>
      <c r="AA87" s="154"/>
    </row>
    <row r="88">
      <c r="A88" s="154"/>
      <c r="B88" s="154"/>
      <c r="C88" s="154"/>
      <c r="D88" s="81"/>
      <c r="E88" s="81"/>
      <c r="F88" s="81"/>
      <c r="G88" s="81"/>
      <c r="H88" s="81"/>
      <c r="I88" s="81"/>
      <c r="J88" s="81"/>
      <c r="K88" s="81"/>
      <c r="L88" s="81"/>
      <c r="M88" s="81"/>
      <c r="N88" s="81"/>
      <c r="O88" s="81"/>
      <c r="P88" s="154"/>
      <c r="Q88" s="154"/>
      <c r="R88" s="154"/>
      <c r="S88" s="154"/>
      <c r="T88" s="154"/>
      <c r="U88" s="154"/>
      <c r="V88" s="154"/>
      <c r="W88" s="154"/>
      <c r="X88" s="154"/>
      <c r="Y88" s="154"/>
      <c r="Z88" s="154"/>
      <c r="AA88" s="154"/>
    </row>
    <row r="89">
      <c r="A89" s="154"/>
      <c r="B89" s="154"/>
      <c r="C89" s="154"/>
      <c r="D89" s="81"/>
      <c r="E89" s="81"/>
      <c r="F89" s="81"/>
      <c r="G89" s="81"/>
      <c r="H89" s="81"/>
      <c r="I89" s="81"/>
      <c r="J89" s="81"/>
      <c r="K89" s="81"/>
      <c r="L89" s="81"/>
      <c r="M89" s="81"/>
      <c r="N89" s="81"/>
      <c r="O89" s="81"/>
      <c r="P89" s="154"/>
      <c r="Q89" s="154"/>
      <c r="R89" s="154"/>
      <c r="S89" s="154"/>
      <c r="T89" s="154"/>
      <c r="U89" s="154"/>
      <c r="V89" s="154"/>
      <c r="W89" s="154"/>
      <c r="X89" s="154"/>
      <c r="Y89" s="154"/>
      <c r="Z89" s="154"/>
      <c r="AA89" s="154"/>
    </row>
    <row r="90">
      <c r="A90" s="154"/>
      <c r="B90" s="154"/>
      <c r="C90" s="154"/>
      <c r="D90" s="81"/>
      <c r="E90" s="81"/>
      <c r="F90" s="81"/>
      <c r="G90" s="81"/>
      <c r="H90" s="81"/>
      <c r="I90" s="81"/>
      <c r="J90" s="81"/>
      <c r="K90" s="81"/>
      <c r="L90" s="81"/>
      <c r="M90" s="81"/>
      <c r="N90" s="81"/>
      <c r="O90" s="81"/>
      <c r="P90" s="154"/>
      <c r="Q90" s="154"/>
      <c r="R90" s="154"/>
      <c r="S90" s="154"/>
      <c r="T90" s="154"/>
      <c r="U90" s="154"/>
      <c r="V90" s="154"/>
      <c r="W90" s="154"/>
      <c r="X90" s="154"/>
      <c r="Y90" s="154"/>
      <c r="Z90" s="154"/>
      <c r="AA90" s="154"/>
    </row>
    <row r="91">
      <c r="A91" s="154"/>
      <c r="B91" s="154"/>
      <c r="C91" s="154"/>
      <c r="D91" s="81"/>
      <c r="E91" s="81"/>
      <c r="F91" s="81"/>
      <c r="G91" s="81"/>
      <c r="H91" s="81"/>
      <c r="I91" s="81"/>
      <c r="J91" s="81"/>
      <c r="K91" s="81"/>
      <c r="L91" s="81"/>
      <c r="M91" s="81"/>
      <c r="N91" s="81"/>
      <c r="O91" s="81"/>
      <c r="P91" s="154"/>
      <c r="Q91" s="154"/>
      <c r="R91" s="154"/>
      <c r="S91" s="154"/>
      <c r="T91" s="154"/>
      <c r="U91" s="154"/>
      <c r="V91" s="154"/>
      <c r="W91" s="154"/>
      <c r="X91" s="154"/>
      <c r="Y91" s="154"/>
      <c r="Z91" s="154"/>
      <c r="AA91" s="154"/>
    </row>
    <row r="92">
      <c r="A92" s="154"/>
      <c r="B92" s="154"/>
      <c r="C92" s="154"/>
      <c r="D92" s="81"/>
      <c r="E92" s="81"/>
      <c r="F92" s="81"/>
      <c r="G92" s="81"/>
      <c r="H92" s="81"/>
      <c r="I92" s="81"/>
      <c r="J92" s="81"/>
      <c r="K92" s="81"/>
      <c r="L92" s="81"/>
      <c r="M92" s="81"/>
      <c r="N92" s="81"/>
      <c r="O92" s="81"/>
      <c r="P92" s="154"/>
      <c r="Q92" s="154"/>
      <c r="R92" s="154"/>
      <c r="S92" s="154"/>
      <c r="T92" s="154"/>
      <c r="U92" s="154"/>
      <c r="V92" s="154"/>
      <c r="W92" s="154"/>
      <c r="X92" s="154"/>
      <c r="Y92" s="154"/>
      <c r="Z92" s="154"/>
      <c r="AA92" s="154"/>
    </row>
    <row r="93">
      <c r="A93" s="154"/>
      <c r="B93" s="154"/>
      <c r="C93" s="154"/>
      <c r="D93" s="81"/>
      <c r="E93" s="81"/>
      <c r="F93" s="81"/>
      <c r="G93" s="81"/>
      <c r="H93" s="81"/>
      <c r="I93" s="81"/>
      <c r="J93" s="81"/>
      <c r="K93" s="81"/>
      <c r="L93" s="81"/>
      <c r="M93" s="81"/>
      <c r="N93" s="81"/>
      <c r="O93" s="81"/>
      <c r="P93" s="154"/>
      <c r="Q93" s="154"/>
      <c r="R93" s="154"/>
      <c r="S93" s="154"/>
      <c r="T93" s="154"/>
      <c r="U93" s="154"/>
      <c r="V93" s="154"/>
      <c r="W93" s="154"/>
      <c r="X93" s="154"/>
      <c r="Y93" s="154"/>
      <c r="Z93" s="154"/>
      <c r="AA93" s="154"/>
    </row>
    <row r="94">
      <c r="A94" s="154"/>
      <c r="B94" s="154"/>
      <c r="C94" s="154"/>
      <c r="D94" s="81"/>
      <c r="E94" s="81"/>
      <c r="F94" s="81"/>
      <c r="G94" s="81"/>
      <c r="H94" s="81"/>
      <c r="I94" s="81"/>
      <c r="J94" s="81"/>
      <c r="K94" s="81"/>
      <c r="L94" s="81"/>
      <c r="M94" s="81"/>
      <c r="N94" s="81"/>
      <c r="O94" s="81"/>
      <c r="P94" s="154"/>
      <c r="Q94" s="154"/>
      <c r="R94" s="154"/>
      <c r="S94" s="154"/>
      <c r="T94" s="154"/>
      <c r="U94" s="154"/>
      <c r="V94" s="154"/>
      <c r="W94" s="154"/>
      <c r="X94" s="154"/>
      <c r="Y94" s="154"/>
      <c r="Z94" s="154"/>
      <c r="AA94" s="154"/>
    </row>
    <row r="95">
      <c r="A95" s="154"/>
      <c r="B95" s="154"/>
      <c r="C95" s="154"/>
      <c r="D95" s="81"/>
      <c r="E95" s="81"/>
      <c r="F95" s="81"/>
      <c r="G95" s="81"/>
      <c r="H95" s="81"/>
      <c r="I95" s="81"/>
      <c r="J95" s="81"/>
      <c r="K95" s="81"/>
      <c r="L95" s="81"/>
      <c r="M95" s="81"/>
      <c r="N95" s="81"/>
      <c r="O95" s="81"/>
      <c r="P95" s="154"/>
      <c r="Q95" s="154"/>
      <c r="R95" s="154"/>
      <c r="S95" s="154"/>
      <c r="T95" s="154"/>
      <c r="U95" s="154"/>
      <c r="V95" s="154"/>
      <c r="W95" s="154"/>
      <c r="X95" s="154"/>
      <c r="Y95" s="154"/>
      <c r="Z95" s="154"/>
      <c r="AA95" s="154"/>
    </row>
    <row r="96">
      <c r="A96" s="154"/>
      <c r="B96" s="154"/>
      <c r="C96" s="154"/>
      <c r="D96" s="81"/>
      <c r="E96" s="81"/>
      <c r="F96" s="81"/>
      <c r="G96" s="81"/>
      <c r="H96" s="81"/>
      <c r="I96" s="81"/>
      <c r="J96" s="81"/>
      <c r="K96" s="81"/>
      <c r="L96" s="81"/>
      <c r="M96" s="81"/>
      <c r="N96" s="81"/>
      <c r="O96" s="81"/>
      <c r="P96" s="154"/>
      <c r="Q96" s="154"/>
      <c r="R96" s="154"/>
      <c r="S96" s="154"/>
      <c r="T96" s="154"/>
      <c r="U96" s="154"/>
      <c r="V96" s="154"/>
      <c r="W96" s="154"/>
      <c r="X96" s="154"/>
      <c r="Y96" s="154"/>
      <c r="Z96" s="154"/>
      <c r="AA96" s="154"/>
    </row>
    <row r="97">
      <c r="A97" s="154"/>
      <c r="B97" s="154"/>
      <c r="C97" s="154"/>
      <c r="D97" s="81"/>
      <c r="E97" s="81"/>
      <c r="F97" s="81"/>
      <c r="G97" s="81"/>
      <c r="H97" s="81"/>
      <c r="I97" s="81"/>
      <c r="J97" s="81"/>
      <c r="K97" s="81"/>
      <c r="L97" s="81"/>
      <c r="M97" s="81"/>
      <c r="N97" s="81"/>
      <c r="O97" s="81"/>
      <c r="P97" s="154"/>
      <c r="Q97" s="154"/>
      <c r="R97" s="154"/>
      <c r="S97" s="154"/>
      <c r="T97" s="154"/>
      <c r="U97" s="154"/>
      <c r="V97" s="154"/>
      <c r="W97" s="154"/>
      <c r="X97" s="154"/>
      <c r="Y97" s="154"/>
      <c r="Z97" s="154"/>
      <c r="AA97" s="154"/>
    </row>
    <row r="98">
      <c r="A98" s="154"/>
      <c r="B98" s="154"/>
      <c r="C98" s="154"/>
      <c r="D98" s="81"/>
      <c r="E98" s="81"/>
      <c r="F98" s="81"/>
      <c r="G98" s="81"/>
      <c r="H98" s="81"/>
      <c r="I98" s="81"/>
      <c r="J98" s="81"/>
      <c r="K98" s="81"/>
      <c r="L98" s="81"/>
      <c r="M98" s="81"/>
      <c r="N98" s="81"/>
      <c r="O98" s="81"/>
      <c r="P98" s="154"/>
      <c r="Q98" s="154"/>
      <c r="R98" s="154"/>
      <c r="S98" s="154"/>
      <c r="T98" s="154"/>
      <c r="U98" s="154"/>
      <c r="V98" s="154"/>
      <c r="W98" s="154"/>
      <c r="X98" s="154"/>
      <c r="Y98" s="154"/>
      <c r="Z98" s="154"/>
      <c r="AA98" s="154"/>
    </row>
    <row r="99">
      <c r="A99" s="154"/>
      <c r="B99" s="154"/>
      <c r="C99" s="154"/>
      <c r="D99" s="81"/>
      <c r="E99" s="81"/>
      <c r="F99" s="81"/>
      <c r="G99" s="81"/>
      <c r="H99" s="81"/>
      <c r="I99" s="81"/>
      <c r="J99" s="81"/>
      <c r="K99" s="81"/>
      <c r="L99" s="81"/>
      <c r="M99" s="81"/>
      <c r="N99" s="81"/>
      <c r="O99" s="81"/>
      <c r="P99" s="154"/>
      <c r="Q99" s="154"/>
      <c r="R99" s="154"/>
      <c r="S99" s="154"/>
      <c r="T99" s="154"/>
      <c r="U99" s="154"/>
      <c r="V99" s="154"/>
      <c r="W99" s="154"/>
      <c r="X99" s="154"/>
      <c r="Y99" s="154"/>
      <c r="Z99" s="154"/>
      <c r="AA99" s="154"/>
    </row>
    <row r="100">
      <c r="A100" s="154"/>
      <c r="B100" s="154"/>
      <c r="C100" s="154"/>
      <c r="D100" s="81"/>
      <c r="E100" s="81"/>
      <c r="F100" s="81"/>
      <c r="G100" s="81"/>
      <c r="H100" s="81"/>
      <c r="I100" s="81"/>
      <c r="J100" s="81"/>
      <c r="K100" s="81"/>
      <c r="L100" s="81"/>
      <c r="M100" s="81"/>
      <c r="N100" s="81"/>
      <c r="O100" s="81"/>
      <c r="P100" s="154"/>
      <c r="Q100" s="154"/>
      <c r="R100" s="154"/>
      <c r="S100" s="154"/>
      <c r="T100" s="154"/>
      <c r="U100" s="154"/>
      <c r="V100" s="154"/>
      <c r="W100" s="154"/>
      <c r="X100" s="154"/>
      <c r="Y100" s="154"/>
      <c r="Z100" s="154"/>
      <c r="AA100" s="154"/>
    </row>
    <row r="101">
      <c r="A101" s="154"/>
      <c r="B101" s="154"/>
      <c r="C101" s="154"/>
      <c r="D101" s="81"/>
      <c r="E101" s="81"/>
      <c r="F101" s="81"/>
      <c r="G101" s="81"/>
      <c r="H101" s="81"/>
      <c r="I101" s="81"/>
      <c r="J101" s="81"/>
      <c r="K101" s="81"/>
      <c r="L101" s="81"/>
      <c r="M101" s="81"/>
      <c r="N101" s="81"/>
      <c r="O101" s="81"/>
      <c r="P101" s="154"/>
      <c r="Q101" s="154"/>
      <c r="R101" s="154"/>
      <c r="S101" s="154"/>
      <c r="T101" s="154"/>
      <c r="U101" s="154"/>
      <c r="V101" s="154"/>
      <c r="W101" s="154"/>
      <c r="X101" s="154"/>
      <c r="Y101" s="154"/>
      <c r="Z101" s="154"/>
      <c r="AA101" s="154"/>
    </row>
    <row r="102">
      <c r="A102" s="154"/>
      <c r="B102" s="154"/>
      <c r="C102" s="154"/>
      <c r="D102" s="81"/>
      <c r="E102" s="81"/>
      <c r="F102" s="81"/>
      <c r="G102" s="81"/>
      <c r="H102" s="81"/>
      <c r="I102" s="81"/>
      <c r="J102" s="81"/>
      <c r="K102" s="81"/>
      <c r="L102" s="81"/>
      <c r="M102" s="81"/>
      <c r="N102" s="81"/>
      <c r="O102" s="81"/>
      <c r="P102" s="154"/>
      <c r="Q102" s="154"/>
      <c r="R102" s="154"/>
      <c r="S102" s="154"/>
      <c r="T102" s="154"/>
      <c r="U102" s="154"/>
      <c r="V102" s="154"/>
      <c r="W102" s="154"/>
      <c r="X102" s="154"/>
      <c r="Y102" s="154"/>
      <c r="Z102" s="154"/>
      <c r="AA102" s="154"/>
    </row>
    <row r="103">
      <c r="A103" s="154"/>
      <c r="B103" s="154"/>
      <c r="C103" s="154"/>
      <c r="D103" s="81"/>
      <c r="E103" s="81"/>
      <c r="F103" s="81"/>
      <c r="G103" s="81"/>
      <c r="H103" s="81"/>
      <c r="I103" s="81"/>
      <c r="J103" s="81"/>
      <c r="K103" s="81"/>
      <c r="L103" s="81"/>
      <c r="M103" s="81"/>
      <c r="N103" s="81"/>
      <c r="O103" s="81"/>
      <c r="P103" s="154"/>
      <c r="Q103" s="154"/>
      <c r="R103" s="154"/>
      <c r="S103" s="154"/>
      <c r="T103" s="154"/>
      <c r="U103" s="154"/>
      <c r="V103" s="154"/>
      <c r="W103" s="154"/>
      <c r="X103" s="154"/>
      <c r="Y103" s="154"/>
      <c r="Z103" s="154"/>
      <c r="AA103" s="154"/>
    </row>
    <row r="104">
      <c r="A104" s="154"/>
      <c r="B104" s="154"/>
      <c r="C104" s="154"/>
      <c r="D104" s="81"/>
      <c r="E104" s="81"/>
      <c r="F104" s="81"/>
      <c r="G104" s="81"/>
      <c r="H104" s="81"/>
      <c r="I104" s="81"/>
      <c r="J104" s="81"/>
      <c r="K104" s="81"/>
      <c r="L104" s="81"/>
      <c r="M104" s="81"/>
      <c r="N104" s="81"/>
      <c r="O104" s="81"/>
      <c r="P104" s="154"/>
      <c r="Q104" s="154"/>
      <c r="R104" s="154"/>
      <c r="S104" s="154"/>
      <c r="T104" s="154"/>
      <c r="U104" s="154"/>
      <c r="V104" s="154"/>
      <c r="W104" s="154"/>
      <c r="X104" s="154"/>
      <c r="Y104" s="154"/>
      <c r="Z104" s="154"/>
      <c r="AA104" s="154"/>
    </row>
    <row r="105">
      <c r="A105" s="154"/>
      <c r="B105" s="154"/>
      <c r="C105" s="154"/>
      <c r="D105" s="81"/>
      <c r="E105" s="81"/>
      <c r="F105" s="81"/>
      <c r="G105" s="81"/>
      <c r="H105" s="81"/>
      <c r="I105" s="81"/>
      <c r="J105" s="81"/>
      <c r="K105" s="81"/>
      <c r="L105" s="81"/>
      <c r="M105" s="81"/>
      <c r="N105" s="81"/>
      <c r="O105" s="81"/>
      <c r="P105" s="154"/>
      <c r="Q105" s="154"/>
      <c r="R105" s="154"/>
      <c r="S105" s="154"/>
      <c r="T105" s="154"/>
      <c r="U105" s="154"/>
      <c r="V105" s="154"/>
      <c r="W105" s="154"/>
      <c r="X105" s="154"/>
      <c r="Y105" s="154"/>
      <c r="Z105" s="154"/>
      <c r="AA105" s="154"/>
    </row>
    <row r="106">
      <c r="A106" s="154"/>
      <c r="B106" s="154"/>
      <c r="C106" s="154"/>
      <c r="D106" s="81"/>
      <c r="E106" s="81"/>
      <c r="F106" s="81"/>
      <c r="G106" s="81"/>
      <c r="H106" s="81"/>
      <c r="I106" s="81"/>
      <c r="J106" s="81"/>
      <c r="K106" s="81"/>
      <c r="L106" s="81"/>
      <c r="M106" s="81"/>
      <c r="N106" s="81"/>
      <c r="O106" s="81"/>
      <c r="P106" s="154"/>
      <c r="Q106" s="154"/>
      <c r="R106" s="154"/>
      <c r="S106" s="154"/>
      <c r="T106" s="154"/>
      <c r="U106" s="154"/>
      <c r="V106" s="154"/>
      <c r="W106" s="154"/>
      <c r="X106" s="154"/>
      <c r="Y106" s="154"/>
      <c r="Z106" s="154"/>
      <c r="AA106" s="154"/>
    </row>
    <row r="107">
      <c r="A107" s="154"/>
      <c r="B107" s="154"/>
      <c r="C107" s="154"/>
      <c r="D107" s="81"/>
      <c r="E107" s="81"/>
      <c r="F107" s="81"/>
      <c r="G107" s="81"/>
      <c r="H107" s="81"/>
      <c r="I107" s="81"/>
      <c r="J107" s="81"/>
      <c r="K107" s="81"/>
      <c r="L107" s="81"/>
      <c r="M107" s="81"/>
      <c r="N107" s="81"/>
      <c r="O107" s="81"/>
      <c r="P107" s="154"/>
      <c r="Q107" s="154"/>
      <c r="R107" s="154"/>
      <c r="S107" s="154"/>
      <c r="T107" s="154"/>
      <c r="U107" s="154"/>
      <c r="V107" s="154"/>
      <c r="W107" s="154"/>
      <c r="X107" s="154"/>
      <c r="Y107" s="154"/>
      <c r="Z107" s="154"/>
      <c r="AA107" s="154"/>
    </row>
    <row r="108">
      <c r="A108" s="154"/>
      <c r="B108" s="154"/>
      <c r="C108" s="154"/>
      <c r="D108" s="81"/>
      <c r="E108" s="81"/>
      <c r="F108" s="81"/>
      <c r="G108" s="81"/>
      <c r="H108" s="81"/>
      <c r="I108" s="81"/>
      <c r="J108" s="81"/>
      <c r="K108" s="81"/>
      <c r="L108" s="81"/>
      <c r="M108" s="81"/>
      <c r="N108" s="81"/>
      <c r="O108" s="81"/>
      <c r="P108" s="154"/>
      <c r="Q108" s="154"/>
      <c r="R108" s="154"/>
      <c r="S108" s="154"/>
      <c r="T108" s="154"/>
      <c r="U108" s="154"/>
      <c r="V108" s="154"/>
      <c r="W108" s="154"/>
      <c r="X108" s="154"/>
      <c r="Y108" s="154"/>
      <c r="Z108" s="154"/>
      <c r="AA108" s="154"/>
    </row>
    <row r="109">
      <c r="A109" s="154"/>
      <c r="B109" s="154"/>
      <c r="C109" s="154"/>
      <c r="D109" s="81"/>
      <c r="E109" s="81"/>
      <c r="F109" s="81"/>
      <c r="G109" s="81"/>
      <c r="H109" s="81"/>
      <c r="I109" s="81"/>
      <c r="J109" s="81"/>
      <c r="K109" s="81"/>
      <c r="L109" s="81"/>
      <c r="M109" s="81"/>
      <c r="N109" s="81"/>
      <c r="O109" s="81"/>
      <c r="P109" s="154"/>
      <c r="Q109" s="154"/>
      <c r="R109" s="154"/>
      <c r="S109" s="154"/>
      <c r="T109" s="154"/>
      <c r="U109" s="154"/>
      <c r="V109" s="154"/>
      <c r="W109" s="154"/>
      <c r="X109" s="154"/>
      <c r="Y109" s="154"/>
      <c r="Z109" s="154"/>
      <c r="AA109" s="154"/>
    </row>
    <row r="110">
      <c r="A110" s="154"/>
      <c r="B110" s="154"/>
      <c r="C110" s="154"/>
      <c r="D110" s="81"/>
      <c r="E110" s="81"/>
      <c r="F110" s="81"/>
      <c r="G110" s="81"/>
      <c r="H110" s="81"/>
      <c r="I110" s="81"/>
      <c r="J110" s="81"/>
      <c r="K110" s="81"/>
      <c r="L110" s="81"/>
      <c r="M110" s="81"/>
      <c r="N110" s="81"/>
      <c r="O110" s="81"/>
      <c r="P110" s="154"/>
      <c r="Q110" s="154"/>
      <c r="R110" s="154"/>
      <c r="S110" s="154"/>
      <c r="T110" s="154"/>
      <c r="U110" s="154"/>
      <c r="V110" s="154"/>
      <c r="W110" s="154"/>
      <c r="X110" s="154"/>
      <c r="Y110" s="154"/>
      <c r="Z110" s="154"/>
      <c r="AA110" s="154"/>
    </row>
    <row r="111">
      <c r="A111" s="154"/>
      <c r="B111" s="154"/>
      <c r="C111" s="154"/>
      <c r="D111" s="81"/>
      <c r="E111" s="81"/>
      <c r="F111" s="81"/>
      <c r="G111" s="81"/>
      <c r="H111" s="81"/>
      <c r="I111" s="81"/>
      <c r="J111" s="81"/>
      <c r="K111" s="81"/>
      <c r="L111" s="81"/>
      <c r="M111" s="81"/>
      <c r="N111" s="81"/>
      <c r="O111" s="81"/>
      <c r="P111" s="154"/>
      <c r="Q111" s="154"/>
      <c r="R111" s="154"/>
      <c r="S111" s="154"/>
      <c r="T111" s="154"/>
      <c r="U111" s="154"/>
      <c r="V111" s="154"/>
      <c r="W111" s="154"/>
      <c r="X111" s="154"/>
      <c r="Y111" s="154"/>
      <c r="Z111" s="154"/>
      <c r="AA111" s="154"/>
    </row>
    <row r="112">
      <c r="A112" s="154"/>
      <c r="B112" s="154"/>
      <c r="C112" s="154"/>
      <c r="D112" s="81"/>
      <c r="E112" s="81"/>
      <c r="F112" s="81"/>
      <c r="G112" s="81"/>
      <c r="H112" s="81"/>
      <c r="I112" s="81"/>
      <c r="J112" s="81"/>
      <c r="K112" s="81"/>
      <c r="L112" s="81"/>
      <c r="M112" s="81"/>
      <c r="N112" s="81"/>
      <c r="O112" s="81"/>
      <c r="P112" s="154"/>
      <c r="Q112" s="154"/>
      <c r="R112" s="154"/>
      <c r="S112" s="154"/>
      <c r="T112" s="154"/>
      <c r="U112" s="154"/>
      <c r="V112" s="154"/>
      <c r="W112" s="154"/>
      <c r="X112" s="154"/>
      <c r="Y112" s="154"/>
      <c r="Z112" s="154"/>
      <c r="AA112" s="154"/>
    </row>
    <row r="113">
      <c r="A113" s="154"/>
      <c r="B113" s="154"/>
      <c r="C113" s="154"/>
      <c r="D113" s="81"/>
      <c r="E113" s="81"/>
      <c r="F113" s="81"/>
      <c r="G113" s="81"/>
      <c r="H113" s="81"/>
      <c r="I113" s="81"/>
      <c r="J113" s="81"/>
      <c r="K113" s="81"/>
      <c r="L113" s="81"/>
      <c r="M113" s="81"/>
      <c r="N113" s="81"/>
      <c r="O113" s="81"/>
      <c r="P113" s="154"/>
      <c r="Q113" s="154"/>
      <c r="R113" s="154"/>
      <c r="S113" s="154"/>
      <c r="T113" s="154"/>
      <c r="U113" s="154"/>
      <c r="V113" s="154"/>
      <c r="W113" s="154"/>
      <c r="X113" s="154"/>
      <c r="Y113" s="154"/>
      <c r="Z113" s="154"/>
      <c r="AA113" s="154"/>
    </row>
    <row r="114">
      <c r="A114" s="154"/>
      <c r="B114" s="154"/>
      <c r="C114" s="154"/>
      <c r="D114" s="81"/>
      <c r="E114" s="81"/>
      <c r="F114" s="81"/>
      <c r="G114" s="81"/>
      <c r="H114" s="81"/>
      <c r="I114" s="81"/>
      <c r="J114" s="81"/>
      <c r="K114" s="81"/>
      <c r="L114" s="81"/>
      <c r="M114" s="81"/>
      <c r="N114" s="81"/>
      <c r="O114" s="81"/>
      <c r="P114" s="154"/>
      <c r="Q114" s="154"/>
      <c r="R114" s="154"/>
      <c r="S114" s="154"/>
      <c r="T114" s="154"/>
      <c r="U114" s="154"/>
      <c r="V114" s="154"/>
      <c r="W114" s="154"/>
      <c r="X114" s="154"/>
      <c r="Y114" s="154"/>
      <c r="Z114" s="154"/>
      <c r="AA114" s="154"/>
    </row>
    <row r="115">
      <c r="A115" s="154"/>
      <c r="B115" s="154"/>
      <c r="C115" s="154"/>
      <c r="D115" s="81"/>
      <c r="E115" s="81"/>
      <c r="F115" s="81"/>
      <c r="G115" s="81"/>
      <c r="H115" s="81"/>
      <c r="I115" s="81"/>
      <c r="J115" s="81"/>
      <c r="K115" s="81"/>
      <c r="L115" s="81"/>
      <c r="M115" s="81"/>
      <c r="N115" s="81"/>
      <c r="O115" s="81"/>
      <c r="P115" s="154"/>
      <c r="Q115" s="154"/>
      <c r="R115" s="154"/>
      <c r="S115" s="154"/>
      <c r="T115" s="154"/>
      <c r="U115" s="154"/>
      <c r="V115" s="154"/>
      <c r="W115" s="154"/>
      <c r="X115" s="154"/>
      <c r="Y115" s="154"/>
      <c r="Z115" s="154"/>
      <c r="AA115" s="154"/>
    </row>
    <row r="116">
      <c r="A116" s="154"/>
      <c r="B116" s="154"/>
      <c r="C116" s="154"/>
      <c r="D116" s="81"/>
      <c r="E116" s="81"/>
      <c r="F116" s="81"/>
      <c r="G116" s="81"/>
      <c r="H116" s="81"/>
      <c r="I116" s="81"/>
      <c r="J116" s="81"/>
      <c r="K116" s="81"/>
      <c r="L116" s="81"/>
      <c r="M116" s="81"/>
      <c r="N116" s="81"/>
      <c r="O116" s="81"/>
      <c r="P116" s="154"/>
      <c r="Q116" s="154"/>
      <c r="R116" s="154"/>
      <c r="S116" s="154"/>
      <c r="T116" s="154"/>
      <c r="U116" s="154"/>
      <c r="V116" s="154"/>
      <c r="W116" s="154"/>
      <c r="X116" s="154"/>
      <c r="Y116" s="154"/>
      <c r="Z116" s="154"/>
      <c r="AA116" s="154"/>
    </row>
    <row r="117">
      <c r="A117" s="154"/>
      <c r="B117" s="154"/>
      <c r="C117" s="154"/>
      <c r="D117" s="81"/>
      <c r="E117" s="81"/>
      <c r="F117" s="81"/>
      <c r="G117" s="81"/>
      <c r="H117" s="81"/>
      <c r="I117" s="81"/>
      <c r="J117" s="81"/>
      <c r="K117" s="81"/>
      <c r="L117" s="81"/>
      <c r="M117" s="81"/>
      <c r="N117" s="81"/>
      <c r="O117" s="81"/>
      <c r="P117" s="154"/>
      <c r="Q117" s="154"/>
      <c r="R117" s="154"/>
      <c r="S117" s="154"/>
      <c r="T117" s="154"/>
      <c r="U117" s="154"/>
      <c r="V117" s="154"/>
      <c r="W117" s="154"/>
      <c r="X117" s="154"/>
      <c r="Y117" s="154"/>
      <c r="Z117" s="154"/>
      <c r="AA117" s="154"/>
    </row>
    <row r="118">
      <c r="A118" s="154"/>
      <c r="B118" s="154"/>
      <c r="C118" s="154"/>
      <c r="D118" s="81"/>
      <c r="E118" s="81"/>
      <c r="F118" s="81"/>
      <c r="G118" s="81"/>
      <c r="H118" s="81"/>
      <c r="I118" s="81"/>
      <c r="J118" s="81"/>
      <c r="K118" s="81"/>
      <c r="L118" s="81"/>
      <c r="M118" s="81"/>
      <c r="N118" s="81"/>
      <c r="O118" s="81"/>
      <c r="P118" s="154"/>
      <c r="Q118" s="154"/>
      <c r="R118" s="154"/>
      <c r="S118" s="154"/>
      <c r="T118" s="154"/>
      <c r="U118" s="154"/>
      <c r="V118" s="154"/>
      <c r="W118" s="154"/>
      <c r="X118" s="154"/>
      <c r="Y118" s="154"/>
      <c r="Z118" s="154"/>
      <c r="AA118" s="154"/>
    </row>
    <row r="119">
      <c r="A119" s="154"/>
      <c r="B119" s="154"/>
      <c r="C119" s="154"/>
      <c r="D119" s="81"/>
      <c r="E119" s="81"/>
      <c r="F119" s="81"/>
      <c r="G119" s="81"/>
      <c r="H119" s="81"/>
      <c r="I119" s="81"/>
      <c r="J119" s="81"/>
      <c r="K119" s="81"/>
      <c r="L119" s="81"/>
      <c r="M119" s="81"/>
      <c r="N119" s="81"/>
      <c r="O119" s="81"/>
      <c r="P119" s="154"/>
      <c r="Q119" s="154"/>
      <c r="R119" s="154"/>
      <c r="S119" s="154"/>
      <c r="T119" s="154"/>
      <c r="U119" s="154"/>
      <c r="V119" s="154"/>
      <c r="W119" s="154"/>
      <c r="X119" s="154"/>
      <c r="Y119" s="154"/>
      <c r="Z119" s="154"/>
      <c r="AA119" s="154"/>
    </row>
    <row r="120">
      <c r="A120" s="154"/>
      <c r="B120" s="154"/>
      <c r="C120" s="154"/>
      <c r="D120" s="81"/>
      <c r="E120" s="81"/>
      <c r="F120" s="81"/>
      <c r="G120" s="81"/>
      <c r="H120" s="81"/>
      <c r="I120" s="81"/>
      <c r="J120" s="81"/>
      <c r="K120" s="81"/>
      <c r="L120" s="81"/>
      <c r="M120" s="81"/>
      <c r="N120" s="81"/>
      <c r="O120" s="81"/>
      <c r="P120" s="154"/>
      <c r="Q120" s="154"/>
      <c r="R120" s="154"/>
      <c r="S120" s="154"/>
      <c r="T120" s="154"/>
      <c r="U120" s="154"/>
      <c r="V120" s="154"/>
      <c r="W120" s="154"/>
      <c r="X120" s="154"/>
      <c r="Y120" s="154"/>
      <c r="Z120" s="154"/>
      <c r="AA120" s="154"/>
    </row>
    <row r="121">
      <c r="A121" s="154"/>
      <c r="B121" s="154"/>
      <c r="C121" s="154"/>
      <c r="D121" s="81"/>
      <c r="E121" s="81"/>
      <c r="F121" s="81"/>
      <c r="G121" s="81"/>
      <c r="H121" s="81"/>
      <c r="I121" s="81"/>
      <c r="J121" s="81"/>
      <c r="K121" s="81"/>
      <c r="L121" s="81"/>
      <c r="M121" s="81"/>
      <c r="N121" s="81"/>
      <c r="O121" s="81"/>
      <c r="P121" s="154"/>
      <c r="Q121" s="154"/>
      <c r="R121" s="154"/>
      <c r="S121" s="154"/>
      <c r="T121" s="154"/>
      <c r="U121" s="154"/>
      <c r="V121" s="154"/>
      <c r="W121" s="154"/>
      <c r="X121" s="154"/>
      <c r="Y121" s="154"/>
      <c r="Z121" s="154"/>
      <c r="AA121" s="154"/>
    </row>
    <row r="122">
      <c r="A122" s="154"/>
      <c r="B122" s="154"/>
      <c r="C122" s="154"/>
      <c r="D122" s="81"/>
      <c r="E122" s="81"/>
      <c r="F122" s="81"/>
      <c r="G122" s="81"/>
      <c r="H122" s="81"/>
      <c r="I122" s="81"/>
      <c r="J122" s="81"/>
      <c r="K122" s="81"/>
      <c r="L122" s="81"/>
      <c r="M122" s="81"/>
      <c r="N122" s="81"/>
      <c r="O122" s="81"/>
      <c r="P122" s="154"/>
      <c r="Q122" s="154"/>
      <c r="R122" s="154"/>
      <c r="S122" s="154"/>
      <c r="T122" s="154"/>
      <c r="U122" s="154"/>
      <c r="V122" s="154"/>
      <c r="W122" s="154"/>
      <c r="X122" s="154"/>
      <c r="Y122" s="154"/>
      <c r="Z122" s="154"/>
      <c r="AA122" s="154"/>
    </row>
    <row r="123">
      <c r="A123" s="154"/>
      <c r="B123" s="154"/>
      <c r="C123" s="154"/>
      <c r="D123" s="81"/>
      <c r="E123" s="81"/>
      <c r="F123" s="81"/>
      <c r="G123" s="81"/>
      <c r="H123" s="81"/>
      <c r="I123" s="81"/>
      <c r="J123" s="81"/>
      <c r="K123" s="81"/>
      <c r="L123" s="81"/>
      <c r="M123" s="81"/>
      <c r="N123" s="81"/>
      <c r="O123" s="81"/>
      <c r="P123" s="154"/>
      <c r="Q123" s="154"/>
      <c r="R123" s="154"/>
      <c r="S123" s="154"/>
      <c r="T123" s="154"/>
      <c r="U123" s="154"/>
      <c r="V123" s="154"/>
      <c r="W123" s="154"/>
      <c r="X123" s="154"/>
      <c r="Y123" s="154"/>
      <c r="Z123" s="154"/>
      <c r="AA123" s="154"/>
    </row>
    <row r="124">
      <c r="A124" s="154"/>
      <c r="B124" s="154"/>
      <c r="C124" s="154"/>
      <c r="D124" s="81"/>
      <c r="E124" s="81"/>
      <c r="F124" s="81"/>
      <c r="G124" s="81"/>
      <c r="H124" s="81"/>
      <c r="I124" s="81"/>
      <c r="J124" s="81"/>
      <c r="K124" s="81"/>
      <c r="L124" s="81"/>
      <c r="M124" s="81"/>
      <c r="N124" s="81"/>
      <c r="O124" s="81"/>
      <c r="P124" s="154"/>
      <c r="Q124" s="154"/>
      <c r="R124" s="154"/>
      <c r="S124" s="154"/>
      <c r="T124" s="154"/>
      <c r="U124" s="154"/>
      <c r="V124" s="154"/>
      <c r="W124" s="154"/>
      <c r="X124" s="154"/>
      <c r="Y124" s="154"/>
      <c r="Z124" s="154"/>
      <c r="AA124" s="154"/>
    </row>
    <row r="125">
      <c r="A125" s="154"/>
      <c r="B125" s="154"/>
      <c r="C125" s="154"/>
      <c r="D125" s="81"/>
      <c r="E125" s="81"/>
      <c r="F125" s="81"/>
      <c r="G125" s="81"/>
      <c r="H125" s="81"/>
      <c r="I125" s="81"/>
      <c r="J125" s="81"/>
      <c r="K125" s="81"/>
      <c r="L125" s="81"/>
      <c r="M125" s="81"/>
      <c r="N125" s="81"/>
      <c r="O125" s="81"/>
      <c r="P125" s="154"/>
      <c r="Q125" s="154"/>
      <c r="R125" s="154"/>
      <c r="S125" s="154"/>
      <c r="T125" s="154"/>
      <c r="U125" s="154"/>
      <c r="V125" s="154"/>
      <c r="W125" s="154"/>
      <c r="X125" s="154"/>
      <c r="Y125" s="154"/>
      <c r="Z125" s="154"/>
      <c r="AA125" s="154"/>
    </row>
    <row r="126">
      <c r="A126" s="154"/>
      <c r="B126" s="154"/>
      <c r="C126" s="154"/>
      <c r="D126" s="81"/>
      <c r="E126" s="81"/>
      <c r="F126" s="81"/>
      <c r="G126" s="81"/>
      <c r="H126" s="81"/>
      <c r="I126" s="81"/>
      <c r="J126" s="81"/>
      <c r="K126" s="81"/>
      <c r="L126" s="81"/>
      <c r="M126" s="81"/>
      <c r="N126" s="81"/>
      <c r="O126" s="81"/>
      <c r="P126" s="154"/>
      <c r="Q126" s="154"/>
      <c r="R126" s="154"/>
      <c r="S126" s="154"/>
      <c r="T126" s="154"/>
      <c r="U126" s="154"/>
      <c r="V126" s="154"/>
      <c r="W126" s="154"/>
      <c r="X126" s="154"/>
      <c r="Y126" s="154"/>
      <c r="Z126" s="154"/>
      <c r="AA126" s="154"/>
    </row>
    <row r="127">
      <c r="A127" s="154"/>
      <c r="B127" s="154"/>
      <c r="C127" s="154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154"/>
      <c r="Q127" s="154"/>
      <c r="R127" s="154"/>
      <c r="S127" s="154"/>
      <c r="T127" s="154"/>
      <c r="U127" s="154"/>
      <c r="V127" s="154"/>
      <c r="W127" s="154"/>
      <c r="X127" s="154"/>
      <c r="Y127" s="154"/>
      <c r="Z127" s="154"/>
      <c r="AA127" s="154"/>
    </row>
    <row r="128">
      <c r="A128" s="154"/>
      <c r="B128" s="154"/>
      <c r="C128" s="154"/>
      <c r="D128" s="81"/>
      <c r="E128" s="81"/>
      <c r="F128" s="81"/>
      <c r="G128" s="81"/>
      <c r="H128" s="81"/>
      <c r="I128" s="81"/>
      <c r="J128" s="81"/>
      <c r="K128" s="81"/>
      <c r="L128" s="81"/>
      <c r="M128" s="81"/>
      <c r="N128" s="81"/>
      <c r="O128" s="81"/>
      <c r="P128" s="154"/>
      <c r="Q128" s="154"/>
      <c r="R128" s="154"/>
      <c r="S128" s="154"/>
      <c r="T128" s="154"/>
      <c r="U128" s="154"/>
      <c r="V128" s="154"/>
      <c r="W128" s="154"/>
      <c r="X128" s="154"/>
      <c r="Y128" s="154"/>
      <c r="Z128" s="154"/>
      <c r="AA128" s="154"/>
    </row>
    <row r="129">
      <c r="A129" s="154"/>
      <c r="B129" s="154"/>
      <c r="C129" s="154"/>
      <c r="D129" s="81"/>
      <c r="E129" s="81"/>
      <c r="F129" s="81"/>
      <c r="G129" s="81"/>
      <c r="H129" s="81"/>
      <c r="I129" s="81"/>
      <c r="J129" s="81"/>
      <c r="K129" s="81"/>
      <c r="L129" s="81"/>
      <c r="M129" s="81"/>
      <c r="N129" s="81"/>
      <c r="O129" s="81"/>
      <c r="P129" s="154"/>
      <c r="Q129" s="154"/>
      <c r="R129" s="154"/>
      <c r="S129" s="154"/>
      <c r="T129" s="154"/>
      <c r="U129" s="154"/>
      <c r="V129" s="154"/>
      <c r="W129" s="154"/>
      <c r="X129" s="154"/>
      <c r="Y129" s="154"/>
      <c r="Z129" s="154"/>
      <c r="AA129" s="154"/>
    </row>
    <row r="130">
      <c r="A130" s="154"/>
      <c r="B130" s="154"/>
      <c r="C130" s="154"/>
      <c r="D130" s="81"/>
      <c r="E130" s="81"/>
      <c r="F130" s="81"/>
      <c r="G130" s="81"/>
      <c r="H130" s="81"/>
      <c r="I130" s="81"/>
      <c r="J130" s="81"/>
      <c r="K130" s="81"/>
      <c r="L130" s="81"/>
      <c r="M130" s="81"/>
      <c r="N130" s="81"/>
      <c r="O130" s="81"/>
      <c r="P130" s="154"/>
      <c r="Q130" s="154"/>
      <c r="R130" s="154"/>
      <c r="S130" s="154"/>
      <c r="T130" s="154"/>
      <c r="U130" s="154"/>
      <c r="V130" s="154"/>
      <c r="W130" s="154"/>
      <c r="X130" s="154"/>
      <c r="Y130" s="154"/>
      <c r="Z130" s="154"/>
      <c r="AA130" s="154"/>
    </row>
    <row r="131">
      <c r="A131" s="154"/>
      <c r="B131" s="154"/>
      <c r="C131" s="154"/>
      <c r="D131" s="81"/>
      <c r="E131" s="81"/>
      <c r="F131" s="81"/>
      <c r="G131" s="81"/>
      <c r="H131" s="81"/>
      <c r="I131" s="81"/>
      <c r="J131" s="81"/>
      <c r="K131" s="81"/>
      <c r="L131" s="81"/>
      <c r="M131" s="81"/>
      <c r="N131" s="81"/>
      <c r="O131" s="81"/>
      <c r="P131" s="154"/>
      <c r="Q131" s="154"/>
      <c r="R131" s="154"/>
      <c r="S131" s="154"/>
      <c r="T131" s="154"/>
      <c r="U131" s="154"/>
      <c r="V131" s="154"/>
      <c r="W131" s="154"/>
      <c r="X131" s="154"/>
      <c r="Y131" s="154"/>
      <c r="Z131" s="154"/>
      <c r="AA131" s="154"/>
    </row>
    <row r="132">
      <c r="A132" s="154"/>
      <c r="B132" s="154"/>
      <c r="C132" s="154"/>
      <c r="D132" s="81"/>
      <c r="E132" s="81"/>
      <c r="F132" s="81"/>
      <c r="G132" s="81"/>
      <c r="H132" s="81"/>
      <c r="I132" s="81"/>
      <c r="J132" s="81"/>
      <c r="K132" s="81"/>
      <c r="L132" s="81"/>
      <c r="M132" s="81"/>
      <c r="N132" s="81"/>
      <c r="O132" s="81"/>
      <c r="P132" s="154"/>
      <c r="Q132" s="154"/>
      <c r="R132" s="154"/>
      <c r="S132" s="154"/>
      <c r="T132" s="154"/>
      <c r="U132" s="154"/>
      <c r="V132" s="154"/>
      <c r="W132" s="154"/>
      <c r="X132" s="154"/>
      <c r="Y132" s="154"/>
      <c r="Z132" s="154"/>
      <c r="AA132" s="154"/>
    </row>
    <row r="133">
      <c r="A133" s="154"/>
      <c r="B133" s="154"/>
      <c r="C133" s="154"/>
      <c r="D133" s="81"/>
      <c r="E133" s="81"/>
      <c r="F133" s="81"/>
      <c r="G133" s="81"/>
      <c r="H133" s="81"/>
      <c r="I133" s="81"/>
      <c r="J133" s="81"/>
      <c r="K133" s="81"/>
      <c r="L133" s="81"/>
      <c r="M133" s="81"/>
      <c r="N133" s="81"/>
      <c r="O133" s="81"/>
      <c r="P133" s="154"/>
      <c r="Q133" s="154"/>
      <c r="R133" s="154"/>
      <c r="S133" s="154"/>
      <c r="T133" s="154"/>
      <c r="U133" s="154"/>
      <c r="V133" s="154"/>
      <c r="W133" s="154"/>
      <c r="X133" s="154"/>
      <c r="Y133" s="154"/>
      <c r="Z133" s="154"/>
      <c r="AA133" s="154"/>
    </row>
    <row r="134">
      <c r="A134" s="154"/>
      <c r="B134" s="154"/>
      <c r="C134" s="154"/>
      <c r="D134" s="81"/>
      <c r="E134" s="81"/>
      <c r="F134" s="81"/>
      <c r="G134" s="81"/>
      <c r="H134" s="81"/>
      <c r="I134" s="81"/>
      <c r="J134" s="81"/>
      <c r="K134" s="81"/>
      <c r="L134" s="81"/>
      <c r="M134" s="81"/>
      <c r="N134" s="81"/>
      <c r="O134" s="81"/>
      <c r="P134" s="154"/>
      <c r="Q134" s="154"/>
      <c r="R134" s="154"/>
      <c r="S134" s="154"/>
      <c r="T134" s="154"/>
      <c r="U134" s="154"/>
      <c r="V134" s="154"/>
      <c r="W134" s="154"/>
      <c r="X134" s="154"/>
      <c r="Y134" s="154"/>
      <c r="Z134" s="154"/>
      <c r="AA134" s="154"/>
    </row>
    <row r="135">
      <c r="A135" s="154"/>
      <c r="B135" s="154"/>
      <c r="C135" s="154"/>
      <c r="D135" s="81"/>
      <c r="E135" s="81"/>
      <c r="F135" s="81"/>
      <c r="G135" s="81"/>
      <c r="H135" s="81"/>
      <c r="I135" s="81"/>
      <c r="J135" s="81"/>
      <c r="K135" s="81"/>
      <c r="L135" s="81"/>
      <c r="M135" s="81"/>
      <c r="N135" s="81"/>
      <c r="O135" s="81"/>
      <c r="P135" s="154"/>
      <c r="Q135" s="154"/>
      <c r="R135" s="154"/>
      <c r="S135" s="154"/>
      <c r="T135" s="154"/>
      <c r="U135" s="154"/>
      <c r="V135" s="154"/>
      <c r="W135" s="154"/>
      <c r="X135" s="154"/>
      <c r="Y135" s="154"/>
      <c r="Z135" s="154"/>
      <c r="AA135" s="154"/>
    </row>
    <row r="136">
      <c r="A136" s="154"/>
      <c r="B136" s="154"/>
      <c r="C136" s="154"/>
      <c r="D136" s="81"/>
      <c r="E136" s="81"/>
      <c r="F136" s="81"/>
      <c r="G136" s="81"/>
      <c r="H136" s="81"/>
      <c r="I136" s="81"/>
      <c r="J136" s="81"/>
      <c r="K136" s="81"/>
      <c r="L136" s="81"/>
      <c r="M136" s="81"/>
      <c r="N136" s="81"/>
      <c r="O136" s="81"/>
      <c r="P136" s="154"/>
      <c r="Q136" s="154"/>
      <c r="R136" s="154"/>
      <c r="S136" s="154"/>
      <c r="T136" s="154"/>
      <c r="U136" s="154"/>
      <c r="V136" s="154"/>
      <c r="W136" s="154"/>
      <c r="X136" s="154"/>
      <c r="Y136" s="154"/>
      <c r="Z136" s="154"/>
      <c r="AA136" s="154"/>
    </row>
    <row r="137">
      <c r="A137" s="154"/>
      <c r="B137" s="154"/>
      <c r="C137" s="154"/>
      <c r="D137" s="81"/>
      <c r="E137" s="81"/>
      <c r="F137" s="81"/>
      <c r="G137" s="81"/>
      <c r="H137" s="81"/>
      <c r="I137" s="81"/>
      <c r="J137" s="81"/>
      <c r="K137" s="81"/>
      <c r="L137" s="81"/>
      <c r="M137" s="81"/>
      <c r="N137" s="81"/>
      <c r="O137" s="81"/>
      <c r="P137" s="154"/>
      <c r="Q137" s="154"/>
      <c r="R137" s="154"/>
      <c r="S137" s="154"/>
      <c r="T137" s="154"/>
      <c r="U137" s="154"/>
      <c r="V137" s="154"/>
      <c r="W137" s="154"/>
      <c r="X137" s="154"/>
      <c r="Y137" s="154"/>
      <c r="Z137" s="154"/>
      <c r="AA137" s="154"/>
    </row>
    <row r="138">
      <c r="A138" s="154"/>
      <c r="B138" s="154"/>
      <c r="C138" s="154"/>
      <c r="D138" s="81"/>
      <c r="E138" s="81"/>
      <c r="F138" s="81"/>
      <c r="G138" s="81"/>
      <c r="H138" s="81"/>
      <c r="I138" s="81"/>
      <c r="J138" s="81"/>
      <c r="K138" s="81"/>
      <c r="L138" s="81"/>
      <c r="M138" s="81"/>
      <c r="N138" s="81"/>
      <c r="O138" s="81"/>
      <c r="P138" s="154"/>
      <c r="Q138" s="154"/>
      <c r="R138" s="154"/>
      <c r="S138" s="154"/>
      <c r="T138" s="154"/>
      <c r="U138" s="154"/>
      <c r="V138" s="154"/>
      <c r="W138" s="154"/>
      <c r="X138" s="154"/>
      <c r="Y138" s="154"/>
      <c r="Z138" s="154"/>
      <c r="AA138" s="154"/>
    </row>
    <row r="139">
      <c r="A139" s="154"/>
      <c r="B139" s="154"/>
      <c r="C139" s="154"/>
      <c r="D139" s="81"/>
      <c r="E139" s="81"/>
      <c r="F139" s="81"/>
      <c r="G139" s="81"/>
      <c r="H139" s="81"/>
      <c r="I139" s="81"/>
      <c r="J139" s="81"/>
      <c r="K139" s="81"/>
      <c r="L139" s="81"/>
      <c r="M139" s="81"/>
      <c r="N139" s="81"/>
      <c r="O139" s="81"/>
      <c r="P139" s="154"/>
      <c r="Q139" s="154"/>
      <c r="R139" s="154"/>
      <c r="S139" s="154"/>
      <c r="T139" s="154"/>
      <c r="U139" s="154"/>
      <c r="V139" s="154"/>
      <c r="W139" s="154"/>
      <c r="X139" s="154"/>
      <c r="Y139" s="154"/>
      <c r="Z139" s="154"/>
      <c r="AA139" s="154"/>
    </row>
    <row r="140">
      <c r="A140" s="154"/>
      <c r="B140" s="154"/>
      <c r="C140" s="154"/>
      <c r="D140" s="81"/>
      <c r="E140" s="81"/>
      <c r="F140" s="81"/>
      <c r="G140" s="81"/>
      <c r="H140" s="81"/>
      <c r="I140" s="81"/>
      <c r="J140" s="81"/>
      <c r="K140" s="81"/>
      <c r="L140" s="81"/>
      <c r="M140" s="81"/>
      <c r="N140" s="81"/>
      <c r="O140" s="81"/>
      <c r="P140" s="154"/>
      <c r="Q140" s="154"/>
      <c r="R140" s="154"/>
      <c r="S140" s="154"/>
      <c r="T140" s="154"/>
      <c r="U140" s="154"/>
      <c r="V140" s="154"/>
      <c r="W140" s="154"/>
      <c r="X140" s="154"/>
      <c r="Y140" s="154"/>
      <c r="Z140" s="154"/>
      <c r="AA140" s="154"/>
    </row>
    <row r="141">
      <c r="A141" s="154"/>
      <c r="B141" s="154"/>
      <c r="C141" s="154"/>
      <c r="D141" s="81"/>
      <c r="E141" s="81"/>
      <c r="F141" s="81"/>
      <c r="G141" s="81"/>
      <c r="H141" s="81"/>
      <c r="I141" s="81"/>
      <c r="J141" s="81"/>
      <c r="K141" s="81"/>
      <c r="L141" s="81"/>
      <c r="M141" s="81"/>
      <c r="N141" s="81"/>
      <c r="O141" s="81"/>
      <c r="P141" s="154"/>
      <c r="Q141" s="154"/>
      <c r="R141" s="154"/>
      <c r="S141" s="154"/>
      <c r="T141" s="154"/>
      <c r="U141" s="154"/>
      <c r="V141" s="154"/>
      <c r="W141" s="154"/>
      <c r="X141" s="154"/>
      <c r="Y141" s="154"/>
      <c r="Z141" s="154"/>
      <c r="AA141" s="154"/>
    </row>
    <row r="142">
      <c r="A142" s="154"/>
      <c r="B142" s="154"/>
      <c r="C142" s="154"/>
      <c r="D142" s="81"/>
      <c r="E142" s="81"/>
      <c r="F142" s="81"/>
      <c r="G142" s="81"/>
      <c r="H142" s="81"/>
      <c r="I142" s="81"/>
      <c r="J142" s="81"/>
      <c r="K142" s="81"/>
      <c r="L142" s="81"/>
      <c r="M142" s="81"/>
      <c r="N142" s="81"/>
      <c r="O142" s="81"/>
      <c r="P142" s="154"/>
      <c r="Q142" s="154"/>
      <c r="R142" s="154"/>
      <c r="S142" s="154"/>
      <c r="T142" s="154"/>
      <c r="U142" s="154"/>
      <c r="V142" s="154"/>
      <c r="W142" s="154"/>
      <c r="X142" s="154"/>
      <c r="Y142" s="154"/>
      <c r="Z142" s="154"/>
      <c r="AA142" s="154"/>
    </row>
    <row r="143">
      <c r="A143" s="154"/>
      <c r="B143" s="154"/>
      <c r="C143" s="154"/>
      <c r="D143" s="81"/>
      <c r="E143" s="81"/>
      <c r="F143" s="81"/>
      <c r="G143" s="81"/>
      <c r="H143" s="81"/>
      <c r="I143" s="81"/>
      <c r="J143" s="81"/>
      <c r="K143" s="81"/>
      <c r="L143" s="81"/>
      <c r="M143" s="81"/>
      <c r="N143" s="81"/>
      <c r="O143" s="81"/>
      <c r="P143" s="154"/>
      <c r="Q143" s="154"/>
      <c r="R143" s="154"/>
      <c r="S143" s="154"/>
      <c r="T143" s="154"/>
      <c r="U143" s="154"/>
      <c r="V143" s="154"/>
      <c r="W143" s="154"/>
      <c r="X143" s="154"/>
      <c r="Y143" s="154"/>
      <c r="Z143" s="154"/>
      <c r="AA143" s="154"/>
    </row>
    <row r="144">
      <c r="A144" s="154"/>
      <c r="B144" s="154"/>
      <c r="C144" s="154"/>
      <c r="D144" s="81"/>
      <c r="E144" s="81"/>
      <c r="F144" s="81"/>
      <c r="G144" s="81"/>
      <c r="H144" s="81"/>
      <c r="I144" s="81"/>
      <c r="J144" s="81"/>
      <c r="K144" s="81"/>
      <c r="L144" s="81"/>
      <c r="M144" s="81"/>
      <c r="N144" s="81"/>
      <c r="O144" s="81"/>
      <c r="P144" s="154"/>
      <c r="Q144" s="154"/>
      <c r="R144" s="154"/>
      <c r="S144" s="154"/>
      <c r="T144" s="154"/>
      <c r="U144" s="154"/>
      <c r="V144" s="154"/>
      <c r="W144" s="154"/>
      <c r="X144" s="154"/>
      <c r="Y144" s="154"/>
      <c r="Z144" s="154"/>
      <c r="AA144" s="154"/>
    </row>
    <row r="145">
      <c r="A145" s="154"/>
      <c r="B145" s="154"/>
      <c r="C145" s="154"/>
      <c r="D145" s="81"/>
      <c r="E145" s="81"/>
      <c r="F145" s="81"/>
      <c r="G145" s="81"/>
      <c r="H145" s="81"/>
      <c r="I145" s="81"/>
      <c r="J145" s="81"/>
      <c r="K145" s="81"/>
      <c r="L145" s="81"/>
      <c r="M145" s="81"/>
      <c r="N145" s="81"/>
      <c r="O145" s="81"/>
      <c r="P145" s="154"/>
      <c r="Q145" s="154"/>
      <c r="R145" s="154"/>
      <c r="S145" s="154"/>
      <c r="T145" s="154"/>
      <c r="U145" s="154"/>
      <c r="V145" s="154"/>
      <c r="W145" s="154"/>
      <c r="X145" s="154"/>
      <c r="Y145" s="154"/>
      <c r="Z145" s="154"/>
      <c r="AA145" s="154"/>
    </row>
    <row r="146">
      <c r="A146" s="154"/>
      <c r="B146" s="154"/>
      <c r="C146" s="154"/>
      <c r="D146" s="81"/>
      <c r="E146" s="81"/>
      <c r="F146" s="81"/>
      <c r="G146" s="81"/>
      <c r="H146" s="81"/>
      <c r="I146" s="81"/>
      <c r="J146" s="81"/>
      <c r="K146" s="81"/>
      <c r="L146" s="81"/>
      <c r="M146" s="81"/>
      <c r="N146" s="81"/>
      <c r="O146" s="81"/>
      <c r="P146" s="154"/>
      <c r="Q146" s="154"/>
      <c r="R146" s="154"/>
      <c r="S146" s="154"/>
      <c r="T146" s="154"/>
      <c r="U146" s="154"/>
      <c r="V146" s="154"/>
      <c r="W146" s="154"/>
      <c r="X146" s="154"/>
      <c r="Y146" s="154"/>
      <c r="Z146" s="154"/>
      <c r="AA146" s="154"/>
    </row>
    <row r="147">
      <c r="A147" s="154"/>
      <c r="B147" s="154"/>
      <c r="C147" s="154"/>
      <c r="D147" s="81"/>
      <c r="E147" s="81"/>
      <c r="F147" s="81"/>
      <c r="G147" s="81"/>
      <c r="H147" s="81"/>
      <c r="I147" s="81"/>
      <c r="J147" s="81"/>
      <c r="K147" s="81"/>
      <c r="L147" s="81"/>
      <c r="M147" s="81"/>
      <c r="N147" s="81"/>
      <c r="O147" s="81"/>
      <c r="P147" s="154"/>
      <c r="Q147" s="154"/>
      <c r="R147" s="154"/>
      <c r="S147" s="154"/>
      <c r="T147" s="154"/>
      <c r="U147" s="154"/>
      <c r="V147" s="154"/>
      <c r="W147" s="154"/>
      <c r="X147" s="154"/>
      <c r="Y147" s="154"/>
      <c r="Z147" s="154"/>
      <c r="AA147" s="154"/>
    </row>
    <row r="148">
      <c r="A148" s="154"/>
      <c r="B148" s="154"/>
      <c r="C148" s="154"/>
      <c r="D148" s="81"/>
      <c r="E148" s="81"/>
      <c r="F148" s="81"/>
      <c r="G148" s="81"/>
      <c r="H148" s="81"/>
      <c r="I148" s="81"/>
      <c r="J148" s="81"/>
      <c r="K148" s="81"/>
      <c r="L148" s="81"/>
      <c r="M148" s="81"/>
      <c r="N148" s="81"/>
      <c r="O148" s="81"/>
      <c r="P148" s="154"/>
      <c r="Q148" s="154"/>
      <c r="R148" s="154"/>
      <c r="S148" s="154"/>
      <c r="T148" s="154"/>
      <c r="U148" s="154"/>
      <c r="V148" s="154"/>
      <c r="W148" s="154"/>
      <c r="X148" s="154"/>
      <c r="Y148" s="154"/>
      <c r="Z148" s="154"/>
      <c r="AA148" s="154"/>
    </row>
    <row r="149">
      <c r="A149" s="154"/>
      <c r="B149" s="154"/>
      <c r="C149" s="154"/>
      <c r="D149" s="81"/>
      <c r="E149" s="81"/>
      <c r="F149" s="81"/>
      <c r="G149" s="81"/>
      <c r="H149" s="81"/>
      <c r="I149" s="81"/>
      <c r="J149" s="81"/>
      <c r="K149" s="81"/>
      <c r="L149" s="81"/>
      <c r="M149" s="81"/>
      <c r="N149" s="81"/>
      <c r="O149" s="81"/>
      <c r="P149" s="154"/>
      <c r="Q149" s="154"/>
      <c r="R149" s="154"/>
      <c r="S149" s="154"/>
      <c r="T149" s="154"/>
      <c r="U149" s="154"/>
      <c r="V149" s="154"/>
      <c r="W149" s="154"/>
      <c r="X149" s="154"/>
      <c r="Y149" s="154"/>
      <c r="Z149" s="154"/>
      <c r="AA149" s="154"/>
    </row>
    <row r="150">
      <c r="A150" s="154"/>
      <c r="B150" s="154"/>
      <c r="C150" s="154"/>
      <c r="D150" s="81"/>
      <c r="E150" s="81"/>
      <c r="F150" s="81"/>
      <c r="G150" s="81"/>
      <c r="H150" s="81"/>
      <c r="I150" s="81"/>
      <c r="J150" s="81"/>
      <c r="K150" s="81"/>
      <c r="L150" s="81"/>
      <c r="M150" s="81"/>
      <c r="N150" s="81"/>
      <c r="O150" s="81"/>
      <c r="P150" s="154"/>
      <c r="Q150" s="154"/>
      <c r="R150" s="154"/>
      <c r="S150" s="154"/>
      <c r="T150" s="154"/>
      <c r="U150" s="154"/>
      <c r="V150" s="154"/>
      <c r="W150" s="154"/>
      <c r="X150" s="154"/>
      <c r="Y150" s="154"/>
      <c r="Z150" s="154"/>
      <c r="AA150" s="154"/>
    </row>
    <row r="151">
      <c r="A151" s="154"/>
      <c r="B151" s="154"/>
      <c r="C151" s="154"/>
      <c r="D151" s="81"/>
      <c r="E151" s="81"/>
      <c r="F151" s="81"/>
      <c r="G151" s="81"/>
      <c r="H151" s="81"/>
      <c r="I151" s="81"/>
      <c r="J151" s="81"/>
      <c r="K151" s="81"/>
      <c r="L151" s="81"/>
      <c r="M151" s="81"/>
      <c r="N151" s="81"/>
      <c r="O151" s="81"/>
      <c r="P151" s="154"/>
      <c r="Q151" s="154"/>
      <c r="R151" s="154"/>
      <c r="S151" s="154"/>
      <c r="T151" s="154"/>
      <c r="U151" s="154"/>
      <c r="V151" s="154"/>
      <c r="W151" s="154"/>
      <c r="X151" s="154"/>
      <c r="Y151" s="154"/>
      <c r="Z151" s="154"/>
      <c r="AA151" s="154"/>
    </row>
    <row r="152">
      <c r="A152" s="154"/>
      <c r="B152" s="154"/>
      <c r="C152" s="154"/>
      <c r="D152" s="81"/>
      <c r="E152" s="81"/>
      <c r="F152" s="81"/>
      <c r="G152" s="81"/>
      <c r="H152" s="81"/>
      <c r="I152" s="81"/>
      <c r="J152" s="81"/>
      <c r="K152" s="81"/>
      <c r="L152" s="81"/>
      <c r="M152" s="81"/>
      <c r="N152" s="81"/>
      <c r="O152" s="81"/>
      <c r="P152" s="154"/>
      <c r="Q152" s="154"/>
      <c r="R152" s="154"/>
      <c r="S152" s="154"/>
      <c r="T152" s="154"/>
      <c r="U152" s="154"/>
      <c r="V152" s="154"/>
      <c r="W152" s="154"/>
      <c r="X152" s="154"/>
      <c r="Y152" s="154"/>
      <c r="Z152" s="154"/>
      <c r="AA152" s="154"/>
    </row>
  </sheetData>
  <mergeCells count="2">
    <mergeCell ref="G3:H3"/>
    <mergeCell ref="G22:H22"/>
  </mergeCell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4" width="18.88"/>
  </cols>
  <sheetData>
    <row r="1">
      <c r="A1" t="s">
        <v>318</v>
      </c>
      <c r="B1" s="12" t="s">
        <v>319</v>
      </c>
      <c r="C1" s="12" t="s">
        <v>320</v>
      </c>
      <c r="D1" s="12" t="s">
        <v>321</v>
      </c>
      <c r="E1" s="12" t="s">
        <v>322</v>
      </c>
      <c r="F1" s="12" t="s">
        <v>131</v>
      </c>
      <c r="G1" s="12" t="s">
        <v>132</v>
      </c>
      <c r="H1" s="12" t="s">
        <v>133</v>
      </c>
      <c r="I1" s="12" t="s">
        <v>134</v>
      </c>
      <c r="J1" s="12" t="s">
        <v>323</v>
      </c>
      <c r="K1" s="12" t="s">
        <v>138</v>
      </c>
      <c r="L1" s="12" t="s">
        <v>139</v>
      </c>
      <c r="M1" s="12" t="s">
        <v>140</v>
      </c>
      <c r="N1" s="12" t="s">
        <v>324</v>
      </c>
    </row>
    <row r="2">
      <c r="A2" s="164">
        <v>42738.67406405092</v>
      </c>
      <c r="B2" s="12" t="s">
        <v>325</v>
      </c>
      <c r="C2" s="12" t="s">
        <v>326</v>
      </c>
      <c r="D2" s="12" t="s">
        <v>327</v>
      </c>
      <c r="E2" s="12">
        <v>1650.0</v>
      </c>
      <c r="F2" s="12">
        <v>0.12</v>
      </c>
      <c r="G2" s="12">
        <v>8.0</v>
      </c>
      <c r="H2" s="12" t="s">
        <v>4</v>
      </c>
      <c r="I2" s="12" t="s">
        <v>154</v>
      </c>
      <c r="J2" s="109">
        <v>500000.0</v>
      </c>
      <c r="K2" s="12">
        <v>0.6</v>
      </c>
      <c r="L2" s="12">
        <v>2.0</v>
      </c>
      <c r="M2" s="12">
        <v>12.0</v>
      </c>
      <c r="N2" s="165" t="s">
        <v>328</v>
      </c>
    </row>
    <row r="3">
      <c r="A3" s="164">
        <v>42738.67526074074</v>
      </c>
      <c r="B3" s="12" t="s">
        <v>325</v>
      </c>
      <c r="C3" s="12" t="s">
        <v>329</v>
      </c>
      <c r="D3" s="12" t="s">
        <v>330</v>
      </c>
      <c r="E3" s="12">
        <v>1250.0</v>
      </c>
      <c r="F3" s="12">
        <v>0.05</v>
      </c>
      <c r="G3" s="12">
        <v>8.0</v>
      </c>
      <c r="H3" s="12" t="s">
        <v>4</v>
      </c>
      <c r="I3" s="12" t="s">
        <v>154</v>
      </c>
      <c r="J3" s="109">
        <v>500000.0</v>
      </c>
      <c r="K3" s="12">
        <v>0.6</v>
      </c>
      <c r="L3" s="12">
        <v>2.0</v>
      </c>
      <c r="M3" s="12">
        <v>12.0</v>
      </c>
      <c r="N3" s="165" t="s">
        <v>331</v>
      </c>
    </row>
    <row r="4">
      <c r="A4" s="164">
        <v>42738.675955949075</v>
      </c>
      <c r="B4" s="12" t="s">
        <v>325</v>
      </c>
      <c r="C4" s="12" t="s">
        <v>332</v>
      </c>
      <c r="D4" s="12" t="s">
        <v>333</v>
      </c>
      <c r="E4" s="12">
        <v>2300.0</v>
      </c>
      <c r="F4" s="12">
        <v>0.1</v>
      </c>
      <c r="G4" s="12">
        <v>8.0</v>
      </c>
      <c r="H4" s="12" t="s">
        <v>4</v>
      </c>
      <c r="I4" s="12" t="s">
        <v>154</v>
      </c>
      <c r="J4" s="109">
        <v>500000.0</v>
      </c>
      <c r="K4" s="12">
        <v>0.6</v>
      </c>
      <c r="L4" s="12">
        <v>2.0</v>
      </c>
      <c r="M4" s="12">
        <v>12.0</v>
      </c>
      <c r="N4" s="165" t="s">
        <v>334</v>
      </c>
    </row>
    <row r="5">
      <c r="A5" s="164">
        <v>42738.67701385416</v>
      </c>
      <c r="B5" s="12" t="s">
        <v>325</v>
      </c>
      <c r="C5" s="12" t="s">
        <v>335</v>
      </c>
      <c r="D5" s="12" t="s">
        <v>336</v>
      </c>
      <c r="E5" s="12">
        <v>1700.0</v>
      </c>
      <c r="F5" s="12">
        <v>0.04</v>
      </c>
      <c r="G5" s="12">
        <v>8.0</v>
      </c>
      <c r="H5" s="12" t="s">
        <v>4</v>
      </c>
      <c r="I5" s="12" t="s">
        <v>154</v>
      </c>
      <c r="J5" s="109">
        <v>1.0E11</v>
      </c>
      <c r="K5" s="12">
        <v>0.1</v>
      </c>
      <c r="L5" s="12">
        <v>2.0</v>
      </c>
      <c r="M5" s="12">
        <v>20.0</v>
      </c>
      <c r="N5" s="165" t="s">
        <v>334</v>
      </c>
    </row>
    <row r="6">
      <c r="A6" s="164">
        <v>42738.67762440973</v>
      </c>
      <c r="B6" s="12" t="s">
        <v>325</v>
      </c>
      <c r="C6" s="12" t="s">
        <v>337</v>
      </c>
      <c r="D6" s="12" t="s">
        <v>336</v>
      </c>
      <c r="E6" s="12">
        <v>1700.0</v>
      </c>
      <c r="F6" s="12">
        <v>0.04</v>
      </c>
      <c r="G6" s="12">
        <v>8.0</v>
      </c>
      <c r="H6" s="12" t="s">
        <v>11</v>
      </c>
      <c r="I6" s="12" t="s">
        <v>154</v>
      </c>
      <c r="J6" s="109">
        <v>1.0E11</v>
      </c>
      <c r="K6" s="12">
        <v>0.35</v>
      </c>
      <c r="L6" s="12">
        <v>4.0</v>
      </c>
      <c r="M6" s="12">
        <v>40.0</v>
      </c>
      <c r="N6" s="165" t="s">
        <v>334</v>
      </c>
    </row>
    <row r="7">
      <c r="A7" s="164">
        <v>42738.67954677083</v>
      </c>
      <c r="B7" s="12" t="s">
        <v>325</v>
      </c>
      <c r="C7" s="12" t="s">
        <v>338</v>
      </c>
      <c r="D7" s="12" t="s">
        <v>339</v>
      </c>
      <c r="E7" s="12">
        <v>2300.0</v>
      </c>
      <c r="F7" s="12">
        <v>0.1</v>
      </c>
      <c r="G7" s="12">
        <v>8.0</v>
      </c>
      <c r="H7" s="12" t="s">
        <v>4</v>
      </c>
      <c r="I7" s="12" t="s">
        <v>154</v>
      </c>
      <c r="J7" s="109">
        <v>1.25E11</v>
      </c>
      <c r="K7" s="12">
        <v>0.1</v>
      </c>
      <c r="L7" s="12">
        <v>2.0</v>
      </c>
      <c r="M7" s="12">
        <v>25.0</v>
      </c>
      <c r="N7" s="165" t="s">
        <v>340</v>
      </c>
    </row>
    <row r="8">
      <c r="A8" s="164">
        <v>42738.68007959491</v>
      </c>
      <c r="B8" s="12" t="s">
        <v>325</v>
      </c>
      <c r="C8" s="12" t="s">
        <v>341</v>
      </c>
      <c r="D8" s="12" t="s">
        <v>339</v>
      </c>
      <c r="E8" s="12">
        <v>2300.0</v>
      </c>
      <c r="F8" s="12">
        <v>0.1</v>
      </c>
      <c r="G8" s="12">
        <v>8.0</v>
      </c>
      <c r="H8" s="12" t="s">
        <v>11</v>
      </c>
      <c r="I8" s="12" t="s">
        <v>154</v>
      </c>
      <c r="J8" s="109">
        <v>1.25E11</v>
      </c>
      <c r="K8" s="12">
        <v>0.35</v>
      </c>
      <c r="L8" s="12">
        <v>4.0</v>
      </c>
      <c r="M8" s="12">
        <v>50.0</v>
      </c>
      <c r="N8" s="165" t="s">
        <v>340</v>
      </c>
    </row>
    <row r="9">
      <c r="A9" s="164">
        <v>42839.91792958333</v>
      </c>
      <c r="B9" s="12" t="s">
        <v>342</v>
      </c>
      <c r="C9" s="12" t="s">
        <v>343</v>
      </c>
      <c r="D9" s="12" t="s">
        <v>344</v>
      </c>
      <c r="E9" s="12">
        <v>10000.0</v>
      </c>
      <c r="F9" s="12">
        <v>4.0</v>
      </c>
      <c r="G9" s="12">
        <v>8.0</v>
      </c>
      <c r="H9" s="12" t="s">
        <v>11</v>
      </c>
      <c r="I9" s="12" t="s">
        <v>151</v>
      </c>
      <c r="J9" s="109">
        <v>5.0E12</v>
      </c>
      <c r="K9" s="12">
        <v>0.1</v>
      </c>
      <c r="L9" s="12">
        <v>1.0</v>
      </c>
      <c r="M9" s="12">
        <v>50.0</v>
      </c>
      <c r="N9" s="12" t="s">
        <v>345</v>
      </c>
    </row>
    <row r="10">
      <c r="A10" s="164">
        <v>42844.52296194444</v>
      </c>
      <c r="B10" s="12" t="s">
        <v>346</v>
      </c>
      <c r="C10" s="12" t="s">
        <v>347</v>
      </c>
      <c r="D10" s="12" t="s">
        <v>348</v>
      </c>
      <c r="E10" s="12">
        <v>2111000.0</v>
      </c>
      <c r="F10" s="12" t="s">
        <v>348</v>
      </c>
      <c r="G10" s="12" t="s">
        <v>348</v>
      </c>
      <c r="H10" s="12" t="s">
        <v>4</v>
      </c>
      <c r="I10" s="12" t="s">
        <v>144</v>
      </c>
      <c r="J10" s="109">
        <v>1.25E12</v>
      </c>
      <c r="K10" s="12" t="s">
        <v>348</v>
      </c>
      <c r="L10" s="12" t="s">
        <v>348</v>
      </c>
      <c r="M10" s="12" t="s">
        <v>348</v>
      </c>
      <c r="N10" s="165" t="s">
        <v>349</v>
      </c>
    </row>
    <row r="11">
      <c r="A11" s="164">
        <v>42844.52544388889</v>
      </c>
      <c r="B11" s="12" t="s">
        <v>346</v>
      </c>
      <c r="C11" s="12" t="s">
        <v>350</v>
      </c>
      <c r="D11" s="12" t="s">
        <v>348</v>
      </c>
      <c r="E11" s="12">
        <v>7916000.0</v>
      </c>
      <c r="F11" s="12" t="s">
        <v>348</v>
      </c>
      <c r="G11" s="12" t="s">
        <v>348</v>
      </c>
      <c r="H11" s="12" t="s">
        <v>4</v>
      </c>
      <c r="I11" s="12" t="s">
        <v>144</v>
      </c>
      <c r="J11" s="109">
        <v>6.25E12</v>
      </c>
      <c r="K11" s="12" t="s">
        <v>348</v>
      </c>
      <c r="L11" s="12" t="s">
        <v>348</v>
      </c>
      <c r="M11" s="12" t="s">
        <v>348</v>
      </c>
      <c r="N11" s="165" t="s">
        <v>349</v>
      </c>
    </row>
    <row r="12">
      <c r="A12" s="164">
        <v>42844.52625575232</v>
      </c>
      <c r="B12" s="12" t="s">
        <v>346</v>
      </c>
      <c r="C12" s="12" t="s">
        <v>351</v>
      </c>
      <c r="D12" s="12" t="s">
        <v>348</v>
      </c>
      <c r="E12" s="12">
        <v>2.9685E7</v>
      </c>
      <c r="F12" s="12" t="s">
        <v>348</v>
      </c>
      <c r="G12" s="12" t="s">
        <v>348</v>
      </c>
      <c r="H12" s="12" t="s">
        <v>4</v>
      </c>
      <c r="I12" s="12" t="s">
        <v>144</v>
      </c>
      <c r="J12" s="109">
        <v>3.125E13</v>
      </c>
      <c r="K12" s="12" t="s">
        <v>348</v>
      </c>
      <c r="L12" s="12" t="s">
        <v>348</v>
      </c>
      <c r="M12" s="12" t="s">
        <v>348</v>
      </c>
      <c r="N12" s="165" t="s">
        <v>349</v>
      </c>
    </row>
    <row r="13">
      <c r="A13" s="164">
        <v>42844.52940159722</v>
      </c>
      <c r="B13" s="12" t="s">
        <v>346</v>
      </c>
      <c r="C13" s="12" t="s">
        <v>352</v>
      </c>
      <c r="D13" s="12" t="s">
        <v>353</v>
      </c>
      <c r="E13" s="12">
        <v>600.0</v>
      </c>
      <c r="F13" s="12">
        <v>0.07</v>
      </c>
      <c r="G13" s="12">
        <v>4.0</v>
      </c>
      <c r="H13" s="12" t="s">
        <v>11</v>
      </c>
      <c r="I13" s="12" t="s">
        <v>151</v>
      </c>
      <c r="J13" s="109">
        <v>5000000.0</v>
      </c>
      <c r="K13" s="12">
        <v>0.35</v>
      </c>
      <c r="L13" s="12">
        <v>2.0</v>
      </c>
      <c r="M13" s="12">
        <v>18.0</v>
      </c>
      <c r="N13" s="165" t="s">
        <v>354</v>
      </c>
    </row>
    <row r="14">
      <c r="A14" s="164">
        <v>42844.5330996875</v>
      </c>
      <c r="B14" s="12" t="s">
        <v>346</v>
      </c>
      <c r="C14" s="12" t="s">
        <v>355</v>
      </c>
      <c r="D14" s="12" t="s">
        <v>356</v>
      </c>
      <c r="E14" s="12">
        <v>3600.0</v>
      </c>
      <c r="F14" s="12">
        <v>1.3</v>
      </c>
      <c r="G14" s="12">
        <v>9.0</v>
      </c>
      <c r="H14" s="12" t="s">
        <v>11</v>
      </c>
      <c r="I14" s="12" t="s">
        <v>151</v>
      </c>
      <c r="J14" s="109">
        <v>5.0E11</v>
      </c>
      <c r="K14" s="12">
        <v>0.35</v>
      </c>
      <c r="L14" s="12">
        <v>5.0</v>
      </c>
      <c r="M14" s="12">
        <v>24.0</v>
      </c>
      <c r="N14" s="165" t="s">
        <v>357</v>
      </c>
    </row>
    <row r="15">
      <c r="A15" s="164">
        <v>42844.534135277776</v>
      </c>
      <c r="B15" s="12" t="s">
        <v>346</v>
      </c>
      <c r="C15" s="12" t="s">
        <v>358</v>
      </c>
      <c r="D15" s="12" t="s">
        <v>359</v>
      </c>
      <c r="E15" s="12">
        <v>4200.0</v>
      </c>
      <c r="F15" s="12">
        <v>2.6</v>
      </c>
      <c r="G15" s="12">
        <v>9.0</v>
      </c>
      <c r="H15" s="12" t="s">
        <v>11</v>
      </c>
      <c r="I15" s="12" t="s">
        <v>151</v>
      </c>
      <c r="J15" s="109">
        <v>2.5E12</v>
      </c>
      <c r="K15" s="12">
        <v>0.35</v>
      </c>
      <c r="L15" s="12">
        <v>6.0</v>
      </c>
      <c r="M15" s="12">
        <v>24.0</v>
      </c>
      <c r="N15" s="165" t="s">
        <v>357</v>
      </c>
    </row>
    <row r="16">
      <c r="A16" s="164">
        <v>42844.53511445602</v>
      </c>
      <c r="B16" s="12" t="s">
        <v>346</v>
      </c>
      <c r="C16" s="12" t="s">
        <v>360</v>
      </c>
      <c r="D16" s="12" t="s">
        <v>361</v>
      </c>
      <c r="E16" s="12">
        <v>4800.0</v>
      </c>
      <c r="F16" s="12">
        <v>5.2</v>
      </c>
      <c r="G16" s="12">
        <v>9.0</v>
      </c>
      <c r="H16" s="12" t="s">
        <v>11</v>
      </c>
      <c r="I16" s="12" t="s">
        <v>151</v>
      </c>
      <c r="J16" s="109">
        <v>1.25E13</v>
      </c>
      <c r="K16" s="12">
        <v>0.35</v>
      </c>
      <c r="L16" s="12">
        <v>7.0</v>
      </c>
      <c r="M16" s="12">
        <v>24.0</v>
      </c>
      <c r="N16" s="165" t="s">
        <v>357</v>
      </c>
    </row>
    <row r="17">
      <c r="A17" s="164">
        <v>42844.5386587963</v>
      </c>
      <c r="B17" s="12" t="s">
        <v>346</v>
      </c>
      <c r="C17" s="12" t="s">
        <v>362</v>
      </c>
      <c r="D17" s="12" t="s">
        <v>363</v>
      </c>
      <c r="E17" s="12">
        <v>7200.0</v>
      </c>
      <c r="F17" s="12">
        <v>1.3</v>
      </c>
      <c r="G17" s="12">
        <v>9.0</v>
      </c>
      <c r="H17" s="12" t="s">
        <v>11</v>
      </c>
      <c r="I17" s="12" t="s">
        <v>154</v>
      </c>
      <c r="J17" s="109">
        <v>5.0E11</v>
      </c>
      <c r="K17" s="12">
        <v>0.35</v>
      </c>
      <c r="L17" s="12">
        <v>5.0</v>
      </c>
      <c r="M17" s="12">
        <v>24.0</v>
      </c>
      <c r="N17" s="165" t="s">
        <v>364</v>
      </c>
    </row>
    <row r="18">
      <c r="A18" s="164">
        <v>42844.53992081019</v>
      </c>
      <c r="B18" s="12" t="s">
        <v>346</v>
      </c>
      <c r="C18" s="12" t="s">
        <v>365</v>
      </c>
      <c r="D18" s="12" t="s">
        <v>366</v>
      </c>
      <c r="E18" s="12">
        <v>8400.0</v>
      </c>
      <c r="F18" s="12">
        <v>2.6</v>
      </c>
      <c r="G18" s="12">
        <v>9.0</v>
      </c>
      <c r="H18" s="12" t="s">
        <v>11</v>
      </c>
      <c r="I18" s="12" t="s">
        <v>154</v>
      </c>
      <c r="J18" s="109">
        <v>2.5E12</v>
      </c>
      <c r="K18" s="12">
        <v>0.35</v>
      </c>
      <c r="L18" s="12">
        <v>6.0</v>
      </c>
      <c r="M18" s="12">
        <v>24.0</v>
      </c>
      <c r="N18" s="165" t="s">
        <v>364</v>
      </c>
    </row>
    <row r="19">
      <c r="A19" s="164">
        <v>42844.54055528935</v>
      </c>
      <c r="B19" s="12" t="s">
        <v>346</v>
      </c>
      <c r="C19" s="12" t="s">
        <v>367</v>
      </c>
      <c r="D19" s="12" t="s">
        <v>368</v>
      </c>
      <c r="E19" s="12">
        <v>9600.0</v>
      </c>
      <c r="F19" s="12">
        <v>5.2</v>
      </c>
      <c r="G19" s="12">
        <v>9.0</v>
      </c>
      <c r="H19" s="12" t="s">
        <v>11</v>
      </c>
      <c r="I19" s="12" t="s">
        <v>154</v>
      </c>
      <c r="J19" s="109">
        <v>1.25E13</v>
      </c>
      <c r="K19" s="12">
        <v>0.35</v>
      </c>
      <c r="L19" s="12">
        <v>7.0</v>
      </c>
      <c r="M19" s="12">
        <v>24.0</v>
      </c>
      <c r="N19" s="165" t="s">
        <v>364</v>
      </c>
    </row>
  </sheetData>
  <hyperlinks>
    <hyperlink r:id="rId1" ref="N2"/>
    <hyperlink r:id="rId2" ref="N3"/>
    <hyperlink r:id="rId3" ref="N4"/>
    <hyperlink r:id="rId4" ref="N5"/>
    <hyperlink r:id="rId5" ref="N6"/>
    <hyperlink r:id="rId6" ref="N7"/>
    <hyperlink r:id="rId7" ref="N8"/>
    <hyperlink r:id="rId8" ref="N10"/>
    <hyperlink r:id="rId9" ref="N11"/>
    <hyperlink r:id="rId10" ref="N12"/>
    <hyperlink r:id="rId11" ref="N13"/>
    <hyperlink r:id="rId12" ref="N14"/>
    <hyperlink r:id="rId13" ref="N15"/>
    <hyperlink r:id="rId14" ref="N16"/>
    <hyperlink r:id="rId15" ref="N17"/>
    <hyperlink r:id="rId16" ref="N18"/>
    <hyperlink r:id="rId17" ref="N19"/>
  </hyperlinks>
  <drawing r:id="rId18"/>
</worksheet>
</file>